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gulatory.nfpower.nf.ca/FP/CBA/2022NPCBA/Project Documents/Review 1/CA/CA-NP-161/"/>
    </mc:Choice>
  </mc:AlternateContent>
  <xr:revisionPtr revIDLastSave="0" documentId="13_ncr:1_{7EA3C938-E146-459A-A84D-5C0DB91BF283}" xr6:coauthVersionLast="36" xr6:coauthVersionMax="36" xr10:uidLastSave="{00000000-0000-0000-0000-000000000000}"/>
  <bookViews>
    <workbookView xWindow="375" yWindow="0" windowWidth="18450" windowHeight="3960" tabRatio="819" firstSheet="1" activeTab="1" xr2:uid="{00000000-000D-0000-FFFF-FFFF00000000}"/>
  </bookViews>
  <sheets>
    <sheet name="Input Capital &amp; Operating Costs" sheetId="14" r:id="rId1"/>
    <sheet name="Generation plant Input" sheetId="17" r:id="rId2"/>
    <sheet name="Avoided Supply Costs" sheetId="18" r:id="rId3"/>
    <sheet name="Escalation Sheet" sheetId="12" r:id="rId4"/>
    <sheet name="GEN 8%CCA" sheetId="8" r:id="rId5"/>
    <sheet name="Levelized PV Rev Rqmt" sheetId="1" r:id="rId6"/>
    <sheet name="Energy Benefit" sheetId="19" r:id="rId7"/>
    <sheet name="Capacity Benefit (R.O.R)" sheetId="20" r:id="rId8"/>
    <sheet name="Capacity Benefit (Dispatch)" sheetId="21" r:id="rId9"/>
  </sheets>
  <calcPr calcId="191029"/>
</workbook>
</file>

<file path=xl/calcChain.xml><?xml version="1.0" encoding="utf-8"?>
<calcChain xmlns="http://schemas.openxmlformats.org/spreadsheetml/2006/main">
  <c r="B8" i="20" l="1"/>
  <c r="B8" i="19"/>
  <c r="E44" i="17"/>
  <c r="E51" i="17" s="1"/>
  <c r="E45" i="17"/>
  <c r="E52" i="17" s="1"/>
  <c r="E9" i="14" l="1"/>
  <c r="B28" i="21"/>
  <c r="C28" i="21" s="1"/>
  <c r="F28" i="21" s="1"/>
  <c r="B29" i="21"/>
  <c r="C29" i="21" s="1"/>
  <c r="B30" i="21"/>
  <c r="C30" i="21" s="1"/>
  <c r="B31" i="21"/>
  <c r="C31" i="21" s="1"/>
  <c r="B32" i="21"/>
  <c r="C32" i="21" s="1"/>
  <c r="B33" i="21"/>
  <c r="C33" i="21" s="1"/>
  <c r="F33" i="21" s="1"/>
  <c r="B34" i="21"/>
  <c r="C34" i="21" s="1"/>
  <c r="B35" i="21"/>
  <c r="C35" i="21" s="1"/>
  <c r="F35" i="21" s="1"/>
  <c r="B36" i="21"/>
  <c r="C36" i="21" s="1"/>
  <c r="B37" i="21"/>
  <c r="C37" i="21" s="1"/>
  <c r="B38" i="21"/>
  <c r="C38" i="21" s="1"/>
  <c r="B39" i="21"/>
  <c r="C39" i="21" s="1"/>
  <c r="B40" i="21"/>
  <c r="C40" i="21" s="1"/>
  <c r="F40" i="21" s="1"/>
  <c r="B41" i="21"/>
  <c r="C41" i="21" s="1"/>
  <c r="B42" i="21"/>
  <c r="C42" i="21" s="1"/>
  <c r="B43" i="21"/>
  <c r="C43" i="21" s="1"/>
  <c r="B44" i="21"/>
  <c r="C44" i="21" s="1"/>
  <c r="B45" i="21"/>
  <c r="C45" i="21" s="1"/>
  <c r="F45" i="21" s="1"/>
  <c r="B46" i="21"/>
  <c r="C46" i="21" s="1"/>
  <c r="B47" i="21"/>
  <c r="C47" i="21" s="1"/>
  <c r="F47" i="21" s="1"/>
  <c r="B48" i="21"/>
  <c r="C48" i="21" s="1"/>
  <c r="B49" i="21"/>
  <c r="C49" i="21" s="1"/>
  <c r="B50" i="21"/>
  <c r="C50" i="21" s="1"/>
  <c r="B51" i="21"/>
  <c r="C51" i="21" s="1"/>
  <c r="B52" i="21"/>
  <c r="C52" i="21" s="1"/>
  <c r="F52" i="21" s="1"/>
  <c r="B53" i="21"/>
  <c r="C53" i="21" s="1"/>
  <c r="B54" i="21"/>
  <c r="C54" i="21" s="1"/>
  <c r="B55" i="21"/>
  <c r="C55" i="21" s="1"/>
  <c r="B56" i="21"/>
  <c r="C56" i="21" s="1"/>
  <c r="B57" i="21"/>
  <c r="C57" i="21" s="1"/>
  <c r="F57" i="21" s="1"/>
  <c r="B58" i="21"/>
  <c r="C58" i="21" s="1"/>
  <c r="B59" i="21"/>
  <c r="C59" i="21" s="1"/>
  <c r="F59" i="21" s="1"/>
  <c r="B60" i="21"/>
  <c r="C60" i="21" s="1"/>
  <c r="B61" i="21"/>
  <c r="C61" i="21" s="1"/>
  <c r="B62" i="21"/>
  <c r="C62" i="21" s="1"/>
  <c r="B63" i="21"/>
  <c r="C63" i="21" s="1"/>
  <c r="B64" i="21"/>
  <c r="C64" i="21" s="1"/>
  <c r="F64" i="21" s="1"/>
  <c r="B65" i="21"/>
  <c r="C65" i="21" s="1"/>
  <c r="B66" i="21"/>
  <c r="C66" i="21" s="1"/>
  <c r="B67" i="21"/>
  <c r="C67" i="21" s="1"/>
  <c r="B68" i="21"/>
  <c r="C68" i="21" s="1"/>
  <c r="B69" i="21"/>
  <c r="C69" i="21" s="1"/>
  <c r="F69" i="21" s="1"/>
  <c r="B70" i="21"/>
  <c r="C70" i="21" s="1"/>
  <c r="B71" i="21"/>
  <c r="C71" i="21" s="1"/>
  <c r="F71" i="21" s="1"/>
  <c r="B72" i="21"/>
  <c r="C72" i="21" s="1"/>
  <c r="B73" i="21"/>
  <c r="C73" i="21" s="1"/>
  <c r="B74" i="21"/>
  <c r="C74" i="21" s="1"/>
  <c r="B75" i="21"/>
  <c r="C75" i="21" s="1"/>
  <c r="B76" i="21"/>
  <c r="C76" i="21" s="1"/>
  <c r="F76" i="21" s="1"/>
  <c r="B77" i="21"/>
  <c r="C77" i="21" s="1"/>
  <c r="B78" i="21"/>
  <c r="C78" i="21" s="1"/>
  <c r="B79" i="21"/>
  <c r="C79" i="21" s="1"/>
  <c r="B80" i="21"/>
  <c r="C80" i="21" s="1"/>
  <c r="B81" i="21"/>
  <c r="C81" i="21" s="1"/>
  <c r="F81" i="21" s="1"/>
  <c r="B82" i="21"/>
  <c r="C82" i="21" s="1"/>
  <c r="B83" i="21"/>
  <c r="C83" i="21" s="1"/>
  <c r="F83" i="21" s="1"/>
  <c r="B84" i="21"/>
  <c r="C84" i="21" s="1"/>
  <c r="B85" i="21"/>
  <c r="C85" i="21" s="1"/>
  <c r="B86" i="21"/>
  <c r="C86" i="21" s="1"/>
  <c r="B87" i="21"/>
  <c r="C87" i="21" s="1"/>
  <c r="B88" i="21"/>
  <c r="C88" i="21" s="1"/>
  <c r="F88" i="21" s="1"/>
  <c r="A28" i="21"/>
  <c r="A29" i="21"/>
  <c r="A30" i="21"/>
  <c r="A31" i="21"/>
  <c r="A32" i="21"/>
  <c r="A33" i="21"/>
  <c r="A34" i="21"/>
  <c r="A35" i="21"/>
  <c r="A36" i="21"/>
  <c r="A37" i="21"/>
  <c r="A38" i="21"/>
  <c r="A39" i="21"/>
  <c r="A40" i="21"/>
  <c r="A41" i="21"/>
  <c r="A42" i="21"/>
  <c r="A43" i="21"/>
  <c r="A44" i="21"/>
  <c r="A45" i="21"/>
  <c r="A46" i="21"/>
  <c r="A47" i="21"/>
  <c r="A48" i="21"/>
  <c r="A49" i="21"/>
  <c r="A50" i="21"/>
  <c r="A51" i="21"/>
  <c r="A52" i="21"/>
  <c r="A53" i="21"/>
  <c r="A54" i="21"/>
  <c r="A55" i="21"/>
  <c r="A56" i="21"/>
  <c r="A57" i="21"/>
  <c r="A58" i="21"/>
  <c r="A59" i="21"/>
  <c r="A60" i="21"/>
  <c r="A61" i="21"/>
  <c r="A62" i="21"/>
  <c r="A63" i="21"/>
  <c r="A64" i="21"/>
  <c r="A65" i="21"/>
  <c r="A66" i="21"/>
  <c r="A67" i="21"/>
  <c r="A68" i="21"/>
  <c r="A69" i="21"/>
  <c r="A70" i="21"/>
  <c r="A71" i="21"/>
  <c r="A72" i="21"/>
  <c r="A73" i="21"/>
  <c r="A74" i="21"/>
  <c r="A75" i="21"/>
  <c r="A76" i="21"/>
  <c r="A77" i="21"/>
  <c r="A78" i="21"/>
  <c r="A79" i="21"/>
  <c r="A80" i="21"/>
  <c r="A81" i="21"/>
  <c r="A82" i="21"/>
  <c r="A83" i="21"/>
  <c r="A84" i="21"/>
  <c r="A85" i="21"/>
  <c r="A86" i="21"/>
  <c r="A87" i="21"/>
  <c r="A88" i="21"/>
  <c r="B27" i="20"/>
  <c r="E27" i="20" s="1"/>
  <c r="B28" i="20"/>
  <c r="E28" i="20" s="1"/>
  <c r="B29" i="20"/>
  <c r="C29" i="20" s="1"/>
  <c r="B30" i="20"/>
  <c r="C30" i="20" s="1"/>
  <c r="B31" i="20"/>
  <c r="C31" i="20" s="1"/>
  <c r="B32" i="20"/>
  <c r="E32" i="20" s="1"/>
  <c r="B33" i="20"/>
  <c r="E33" i="20" s="1"/>
  <c r="B34" i="20"/>
  <c r="E34" i="20" s="1"/>
  <c r="B35" i="20"/>
  <c r="E35" i="20" s="1"/>
  <c r="B36" i="20"/>
  <c r="C36" i="20" s="1"/>
  <c r="B37" i="20"/>
  <c r="C37" i="20" s="1"/>
  <c r="B38" i="20"/>
  <c r="C38" i="20" s="1"/>
  <c r="B39" i="20"/>
  <c r="E39" i="20" s="1"/>
  <c r="B40" i="20"/>
  <c r="E40" i="20" s="1"/>
  <c r="B41" i="20"/>
  <c r="E41" i="20" s="1"/>
  <c r="B42" i="20"/>
  <c r="C42" i="20" s="1"/>
  <c r="B43" i="20"/>
  <c r="C43" i="20" s="1"/>
  <c r="B44" i="20"/>
  <c r="E44" i="20" s="1"/>
  <c r="B45" i="20"/>
  <c r="E45" i="20" s="1"/>
  <c r="B46" i="20"/>
  <c r="E46" i="20" s="1"/>
  <c r="B47" i="20"/>
  <c r="E47" i="20" s="1"/>
  <c r="B48" i="20"/>
  <c r="E48" i="20" s="1"/>
  <c r="B49" i="20"/>
  <c r="C49" i="20" s="1"/>
  <c r="B50" i="20"/>
  <c r="C50" i="20" s="1"/>
  <c r="B51" i="20"/>
  <c r="E51" i="20" s="1"/>
  <c r="B52" i="20"/>
  <c r="E52" i="20" s="1"/>
  <c r="B53" i="20"/>
  <c r="E53" i="20" s="1"/>
  <c r="B54" i="20"/>
  <c r="C54" i="20" s="1"/>
  <c r="B55" i="20"/>
  <c r="C55" i="20" s="1"/>
  <c r="B56" i="20"/>
  <c r="E56" i="20" s="1"/>
  <c r="B57" i="20"/>
  <c r="E57" i="20" s="1"/>
  <c r="B58" i="20"/>
  <c r="C58" i="20" s="1"/>
  <c r="B59" i="20"/>
  <c r="E59" i="20" s="1"/>
  <c r="B60" i="20"/>
  <c r="C60" i="20" s="1"/>
  <c r="B61" i="20"/>
  <c r="C61" i="20" s="1"/>
  <c r="B62" i="20"/>
  <c r="C62" i="20" s="1"/>
  <c r="B63" i="20"/>
  <c r="E63" i="20" s="1"/>
  <c r="B64" i="20"/>
  <c r="E64" i="20" s="1"/>
  <c r="B65" i="20"/>
  <c r="E65" i="20" s="1"/>
  <c r="B66" i="20"/>
  <c r="C66" i="20" s="1"/>
  <c r="B67" i="20"/>
  <c r="C67" i="20" s="1"/>
  <c r="B68" i="20"/>
  <c r="E68" i="20" s="1"/>
  <c r="B69" i="20"/>
  <c r="E69" i="20" s="1"/>
  <c r="B70" i="20"/>
  <c r="E70" i="20" s="1"/>
  <c r="B71" i="20"/>
  <c r="E71" i="20" s="1"/>
  <c r="B72" i="20"/>
  <c r="C72" i="20" s="1"/>
  <c r="B73" i="20"/>
  <c r="C73" i="20" s="1"/>
  <c r="B74" i="20"/>
  <c r="C74" i="20" s="1"/>
  <c r="B75" i="20"/>
  <c r="E75" i="20" s="1"/>
  <c r="B76" i="20"/>
  <c r="E76" i="20" s="1"/>
  <c r="B77" i="20"/>
  <c r="C77" i="20" s="1"/>
  <c r="B78" i="20"/>
  <c r="C78" i="20" s="1"/>
  <c r="B79" i="20"/>
  <c r="C79" i="20" s="1"/>
  <c r="B80" i="20"/>
  <c r="E80" i="20" s="1"/>
  <c r="B81" i="20"/>
  <c r="E81" i="20" s="1"/>
  <c r="B82" i="20"/>
  <c r="E82" i="20" s="1"/>
  <c r="B83" i="20"/>
  <c r="E83" i="20" s="1"/>
  <c r="B84" i="20"/>
  <c r="C84" i="20" s="1"/>
  <c r="B85" i="20"/>
  <c r="C85" i="20" s="1"/>
  <c r="B86" i="20"/>
  <c r="C86" i="20" s="1"/>
  <c r="B87" i="20"/>
  <c r="E87" i="20" s="1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41" i="20"/>
  <c r="A42" i="20"/>
  <c r="A4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63" i="20"/>
  <c r="A64" i="20"/>
  <c r="A65" i="20"/>
  <c r="A66" i="20"/>
  <c r="A67" i="20"/>
  <c r="A68" i="20"/>
  <c r="A69" i="20"/>
  <c r="A70" i="20"/>
  <c r="A71" i="20"/>
  <c r="A72" i="20"/>
  <c r="A73" i="20"/>
  <c r="A74" i="20"/>
  <c r="A75" i="20"/>
  <c r="A76" i="20"/>
  <c r="A77" i="20"/>
  <c r="A78" i="20"/>
  <c r="A79" i="20"/>
  <c r="A80" i="20"/>
  <c r="A81" i="20"/>
  <c r="A82" i="20"/>
  <c r="A83" i="20"/>
  <c r="A84" i="20"/>
  <c r="A85" i="20"/>
  <c r="A86" i="20"/>
  <c r="A87" i="20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B30" i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E31" i="20" l="1"/>
  <c r="C53" i="20"/>
  <c r="E72" i="20"/>
  <c r="E60" i="20"/>
  <c r="C82" i="20"/>
  <c r="C48" i="20"/>
  <c r="E77" i="20"/>
  <c r="E36" i="20"/>
  <c r="E29" i="20"/>
  <c r="E38" i="20"/>
  <c r="C34" i="20"/>
  <c r="E86" i="20"/>
  <c r="E84" i="20"/>
  <c r="E74" i="20"/>
  <c r="E62" i="20"/>
  <c r="E50" i="20"/>
  <c r="C70" i="20"/>
  <c r="C65" i="20"/>
  <c r="E58" i="20"/>
  <c r="E79" i="20"/>
  <c r="E55" i="20"/>
  <c r="E78" i="20"/>
  <c r="E54" i="20"/>
  <c r="E30" i="20"/>
  <c r="C46" i="20"/>
  <c r="C41" i="20"/>
  <c r="E67" i="20"/>
  <c r="E43" i="20"/>
  <c r="E66" i="20"/>
  <c r="E42" i="20"/>
  <c r="D85" i="21"/>
  <c r="F85" i="21"/>
  <c r="D61" i="21"/>
  <c r="F61" i="21"/>
  <c r="F82" i="21"/>
  <c r="D82" i="21"/>
  <c r="F70" i="21"/>
  <c r="D70" i="21"/>
  <c r="F58" i="21"/>
  <c r="D58" i="21"/>
  <c r="F46" i="21"/>
  <c r="D46" i="21"/>
  <c r="F34" i="21"/>
  <c r="D34" i="21"/>
  <c r="F80" i="21"/>
  <c r="D80" i="21"/>
  <c r="F68" i="21"/>
  <c r="D68" i="21"/>
  <c r="F56" i="21"/>
  <c r="D56" i="21"/>
  <c r="F44" i="21"/>
  <c r="D44" i="21"/>
  <c r="F79" i="21"/>
  <c r="D79" i="21"/>
  <c r="F67" i="21"/>
  <c r="D67" i="21"/>
  <c r="F55" i="21"/>
  <c r="D55" i="21"/>
  <c r="F43" i="21"/>
  <c r="D43" i="21"/>
  <c r="F78" i="21"/>
  <c r="D78" i="21"/>
  <c r="F66" i="21"/>
  <c r="D66" i="21"/>
  <c r="F54" i="21"/>
  <c r="D54" i="21"/>
  <c r="F42" i="21"/>
  <c r="D42" i="21"/>
  <c r="F30" i="21"/>
  <c r="D30" i="21"/>
  <c r="F32" i="21"/>
  <c r="D32" i="21"/>
  <c r="F31" i="21"/>
  <c r="D31" i="21"/>
  <c r="F77" i="21"/>
  <c r="D77" i="21"/>
  <c r="F65" i="21"/>
  <c r="D65" i="21"/>
  <c r="F53" i="21"/>
  <c r="D53" i="21"/>
  <c r="F41" i="21"/>
  <c r="D41" i="21"/>
  <c r="F29" i="21"/>
  <c r="D29" i="21"/>
  <c r="F87" i="21"/>
  <c r="D87" i="21"/>
  <c r="F75" i="21"/>
  <c r="D75" i="21"/>
  <c r="F63" i="21"/>
  <c r="D63" i="21"/>
  <c r="F51" i="21"/>
  <c r="D51" i="21"/>
  <c r="F39" i="21"/>
  <c r="D39" i="21"/>
  <c r="D86" i="21"/>
  <c r="F86" i="21"/>
  <c r="D74" i="21"/>
  <c r="F74" i="21"/>
  <c r="D62" i="21"/>
  <c r="F62" i="21"/>
  <c r="D50" i="21"/>
  <c r="F50" i="21"/>
  <c r="D38" i="21"/>
  <c r="F38" i="21"/>
  <c r="D73" i="21"/>
  <c r="F73" i="21"/>
  <c r="D49" i="21"/>
  <c r="F49" i="21"/>
  <c r="D37" i="21"/>
  <c r="F37" i="21"/>
  <c r="F84" i="21"/>
  <c r="D84" i="21"/>
  <c r="F72" i="21"/>
  <c r="D72" i="21"/>
  <c r="F60" i="21"/>
  <c r="D60" i="21"/>
  <c r="F48" i="21"/>
  <c r="D48" i="21"/>
  <c r="F36" i="21"/>
  <c r="D36" i="21"/>
  <c r="C83" i="20"/>
  <c r="C71" i="20"/>
  <c r="C59" i="20"/>
  <c r="C47" i="20"/>
  <c r="C35" i="20"/>
  <c r="E85" i="20"/>
  <c r="E73" i="20"/>
  <c r="E61" i="20"/>
  <c r="E49" i="20"/>
  <c r="E37" i="20"/>
  <c r="D83" i="21"/>
  <c r="D71" i="21"/>
  <c r="D59" i="21"/>
  <c r="D47" i="21"/>
  <c r="D35" i="21"/>
  <c r="C81" i="20"/>
  <c r="C69" i="20"/>
  <c r="C57" i="20"/>
  <c r="C45" i="20"/>
  <c r="C33" i="20"/>
  <c r="D81" i="21"/>
  <c r="D69" i="21"/>
  <c r="D57" i="21"/>
  <c r="D45" i="21"/>
  <c r="D33" i="21"/>
  <c r="C80" i="20"/>
  <c r="C68" i="20"/>
  <c r="C56" i="20"/>
  <c r="C44" i="20"/>
  <c r="C32" i="20"/>
  <c r="C76" i="20"/>
  <c r="C64" i="20"/>
  <c r="C52" i="20"/>
  <c r="C40" i="20"/>
  <c r="C28" i="20"/>
  <c r="D88" i="21"/>
  <c r="D76" i="21"/>
  <c r="D64" i="21"/>
  <c r="D52" i="21"/>
  <c r="D40" i="21"/>
  <c r="D28" i="21"/>
  <c r="C87" i="20"/>
  <c r="C75" i="20"/>
  <c r="C63" i="20"/>
  <c r="C51" i="20"/>
  <c r="C39" i="20"/>
  <c r="C27" i="20"/>
  <c r="L11" i="18"/>
  <c r="K11" i="18"/>
  <c r="D8" i="17" l="1"/>
  <c r="D29" i="14"/>
  <c r="D30" i="14"/>
  <c r="D31" i="14"/>
  <c r="D32" i="14" s="1"/>
  <c r="D33" i="14" s="1"/>
  <c r="D34" i="14" s="1"/>
  <c r="D35" i="14" s="1"/>
  <c r="D36" i="14" s="1"/>
  <c r="D37" i="14" s="1"/>
  <c r="D38" i="14" s="1"/>
  <c r="D39" i="14" s="1"/>
  <c r="D40" i="14" s="1"/>
  <c r="D41" i="14" s="1"/>
  <c r="D42" i="14" s="1"/>
  <c r="D43" i="14" s="1"/>
  <c r="D44" i="14" s="1"/>
  <c r="D45" i="14" s="1"/>
  <c r="D46" i="14" s="1"/>
  <c r="D47" i="14" s="1"/>
  <c r="D48" i="14" s="1"/>
  <c r="D49" i="14" s="1"/>
  <c r="D50" i="14" s="1"/>
  <c r="D51" i="14" s="1"/>
  <c r="D52" i="14" s="1"/>
  <c r="D53" i="14" s="1"/>
  <c r="D54" i="14" s="1"/>
  <c r="D55" i="14" s="1"/>
  <c r="D56" i="14" s="1"/>
  <c r="D57" i="14" s="1"/>
  <c r="D58" i="14" s="1"/>
  <c r="D59" i="14" s="1"/>
  <c r="D60" i="14" s="1"/>
  <c r="D61" i="14" s="1"/>
  <c r="D62" i="14" s="1"/>
  <c r="D63" i="14" s="1"/>
  <c r="D64" i="14" s="1"/>
  <c r="D65" i="14" s="1"/>
  <c r="D66" i="14" s="1"/>
  <c r="D67" i="14" s="1"/>
  <c r="D68" i="14" s="1"/>
  <c r="D69" i="14" s="1"/>
  <c r="D70" i="14" s="1"/>
  <c r="D71" i="14" s="1"/>
  <c r="D72" i="14" s="1"/>
  <c r="D73" i="14" s="1"/>
  <c r="D74" i="14" s="1"/>
  <c r="D75" i="14" s="1"/>
  <c r="D76" i="14" s="1"/>
  <c r="D77" i="14" s="1"/>
  <c r="D78" i="14" s="1"/>
  <c r="D79" i="14" s="1"/>
  <c r="D80" i="14" s="1"/>
  <c r="D81" i="14" s="1"/>
  <c r="D82" i="14" s="1"/>
  <c r="D83" i="14" s="1"/>
  <c r="D84" i="14" s="1"/>
  <c r="D85" i="14" s="1"/>
  <c r="D86" i="14" s="1"/>
  <c r="D87" i="14" s="1"/>
  <c r="D88" i="14" s="1"/>
  <c r="C22" i="14" l="1"/>
  <c r="C20" i="14"/>
  <c r="C9" i="14"/>
  <c r="B27" i="21" l="1"/>
  <c r="C27" i="21" s="1"/>
  <c r="F27" i="21" s="1"/>
  <c r="B26" i="21"/>
  <c r="C26" i="21" s="1"/>
  <c r="B25" i="21"/>
  <c r="C25" i="21" s="1"/>
  <c r="B24" i="21"/>
  <c r="C24" i="21" s="1"/>
  <c r="F24" i="21" s="1"/>
  <c r="B23" i="21"/>
  <c r="C23" i="21" s="1"/>
  <c r="B22" i="21"/>
  <c r="C22" i="21" s="1"/>
  <c r="B21" i="21"/>
  <c r="C21" i="21" s="1"/>
  <c r="B20" i="21"/>
  <c r="C20" i="21" s="1"/>
  <c r="B19" i="21"/>
  <c r="C19" i="21" s="1"/>
  <c r="F19" i="21" s="1"/>
  <c r="B18" i="21"/>
  <c r="C18" i="21" s="1"/>
  <c r="B17" i="21"/>
  <c r="C17" i="21" s="1"/>
  <c r="B16" i="21"/>
  <c r="C16" i="21" s="1"/>
  <c r="F16" i="21" s="1"/>
  <c r="B15" i="21"/>
  <c r="C15" i="21" s="1"/>
  <c r="B14" i="21"/>
  <c r="C14" i="21" s="1"/>
  <c r="B13" i="21"/>
  <c r="C13" i="21" s="1"/>
  <c r="B12" i="21"/>
  <c r="C12" i="21" s="1"/>
  <c r="B11" i="21"/>
  <c r="C11" i="21" s="1"/>
  <c r="F11" i="21" s="1"/>
  <c r="B10" i="21"/>
  <c r="C10" i="21" s="1"/>
  <c r="B9" i="21"/>
  <c r="C9" i="21" s="1"/>
  <c r="C8" i="21"/>
  <c r="F8" i="21" s="1"/>
  <c r="E7" i="20"/>
  <c r="E7" i="19"/>
  <c r="F14" i="21" l="1"/>
  <c r="F22" i="21"/>
  <c r="F18" i="21"/>
  <c r="F12" i="21"/>
  <c r="F15" i="21"/>
  <c r="F9" i="21"/>
  <c r="F25" i="21"/>
  <c r="F13" i="21"/>
  <c r="F10" i="21"/>
  <c r="F26" i="21"/>
  <c r="F21" i="21"/>
  <c r="F20" i="21"/>
  <c r="F23" i="21"/>
  <c r="F17" i="21"/>
  <c r="C11" i="1" l="1"/>
  <c r="H12" i="8" l="1"/>
  <c r="D76" i="17"/>
  <c r="D77" i="17"/>
  <c r="D78" i="17"/>
  <c r="D79" i="17"/>
  <c r="D80" i="17"/>
  <c r="D81" i="17"/>
  <c r="D82" i="17"/>
  <c r="G31" i="17" s="1"/>
  <c r="D83" i="17"/>
  <c r="G32" i="17" s="1"/>
  <c r="D84" i="17"/>
  <c r="G33" i="17" s="1"/>
  <c r="D85" i="17"/>
  <c r="G34" i="17" s="1"/>
  <c r="D86" i="17"/>
  <c r="G35" i="17" s="1"/>
  <c r="D87" i="17"/>
  <c r="D88" i="17"/>
  <c r="H18" i="8" l="1"/>
  <c r="H14" i="8"/>
  <c r="H31" i="8"/>
  <c r="H32" i="8"/>
  <c r="H16" i="8"/>
  <c r="H15" i="8"/>
  <c r="H20" i="8"/>
  <c r="H27" i="8"/>
  <c r="H19" i="8"/>
  <c r="H25" i="8"/>
  <c r="H29" i="8"/>
  <c r="H26" i="8"/>
  <c r="H17" i="8"/>
  <c r="H21" i="8"/>
  <c r="H30" i="8"/>
  <c r="H24" i="8"/>
  <c r="H23" i="8"/>
  <c r="H22" i="8"/>
  <c r="H28" i="8"/>
  <c r="C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81" i="12"/>
  <c r="C82" i="12"/>
  <c r="C83" i="12"/>
  <c r="C84" i="12"/>
  <c r="C4" i="12"/>
  <c r="C18" i="18" l="1"/>
  <c r="C19" i="18" s="1"/>
  <c r="C20" i="18" s="1"/>
  <c r="C21" i="18" s="1"/>
  <c r="C22" i="18" s="1"/>
  <c r="C23" i="18" s="1"/>
  <c r="C24" i="18" s="1"/>
  <c r="C25" i="18" s="1"/>
  <c r="C26" i="18" s="1"/>
  <c r="C27" i="18" s="1"/>
  <c r="C28" i="18" s="1"/>
  <c r="C29" i="18" s="1"/>
  <c r="C30" i="18" s="1"/>
  <c r="C31" i="18" s="1"/>
  <c r="C32" i="18" s="1"/>
  <c r="C33" i="18" s="1"/>
  <c r="C34" i="18" s="1"/>
  <c r="C35" i="18" s="1"/>
  <c r="C36" i="18" s="1"/>
  <c r="C37" i="18" s="1"/>
  <c r="C38" i="18" s="1"/>
  <c r="C39" i="18" s="1"/>
  <c r="C40" i="18" s="1"/>
  <c r="C41" i="18" s="1"/>
  <c r="C42" i="18" s="1"/>
  <c r="C43" i="18" s="1"/>
  <c r="C44" i="18" s="1"/>
  <c r="C45" i="18" s="1"/>
  <c r="C46" i="18" s="1"/>
  <c r="C47" i="18" s="1"/>
  <c r="C48" i="18" s="1"/>
  <c r="C49" i="18" s="1"/>
  <c r="C50" i="18" s="1"/>
  <c r="C51" i="18" s="1"/>
  <c r="C52" i="18" s="1"/>
  <c r="C53" i="18" s="1"/>
  <c r="C54" i="18" s="1"/>
  <c r="C55" i="18" s="1"/>
  <c r="C56" i="18" s="1"/>
  <c r="C57" i="18" s="1"/>
  <c r="C58" i="18" s="1"/>
  <c r="C59" i="18" s="1"/>
  <c r="C60" i="18" s="1"/>
  <c r="C61" i="18" s="1"/>
  <c r="C62" i="18" s="1"/>
  <c r="C63" i="18" s="1"/>
  <c r="C64" i="18" s="1"/>
  <c r="C65" i="18" s="1"/>
  <c r="C66" i="18" s="1"/>
  <c r="C67" i="18" s="1"/>
  <c r="C68" i="18" s="1"/>
  <c r="C69" i="18" s="1"/>
  <c r="C70" i="18" s="1"/>
  <c r="C71" i="18" s="1"/>
  <c r="C72" i="18" s="1"/>
  <c r="C73" i="18" s="1"/>
  <c r="C74" i="18" s="1"/>
  <c r="C75" i="18" s="1"/>
  <c r="C76" i="18" s="1"/>
  <c r="C77" i="18" s="1"/>
  <c r="C78" i="18" s="1"/>
  <c r="C79" i="18" s="1"/>
  <c r="C80" i="18" s="1"/>
  <c r="C81" i="18" s="1"/>
  <c r="C82" i="18" s="1"/>
  <c r="C83" i="18" s="1"/>
  <c r="C84" i="18" s="1"/>
  <c r="C85" i="18" s="1"/>
  <c r="C86" i="18" s="1"/>
  <c r="C87" i="18" s="1"/>
  <c r="C88" i="18" s="1"/>
  <c r="C89" i="18" s="1"/>
  <c r="C90" i="18" s="1"/>
  <c r="D18" i="18"/>
  <c r="D19" i="18" s="1"/>
  <c r="D20" i="18" s="1"/>
  <c r="D21" i="18" s="1"/>
  <c r="D22" i="18" s="1"/>
  <c r="D23" i="18" s="1"/>
  <c r="D24" i="18" s="1"/>
  <c r="D25" i="18" s="1"/>
  <c r="D26" i="18" s="1"/>
  <c r="D27" i="18" s="1"/>
  <c r="D28" i="18" s="1"/>
  <c r="D29" i="18" s="1"/>
  <c r="D30" i="18" s="1"/>
  <c r="D31" i="18" s="1"/>
  <c r="D32" i="18" s="1"/>
  <c r="D33" i="18" s="1"/>
  <c r="D34" i="18" s="1"/>
  <c r="D35" i="18" s="1"/>
  <c r="D36" i="18" s="1"/>
  <c r="D37" i="18" s="1"/>
  <c r="D38" i="18" s="1"/>
  <c r="D39" i="18" s="1"/>
  <c r="D40" i="18" s="1"/>
  <c r="D41" i="18" s="1"/>
  <c r="D42" i="18" s="1"/>
  <c r="D43" i="18" s="1"/>
  <c r="D44" i="18" s="1"/>
  <c r="D45" i="18" s="1"/>
  <c r="D46" i="18" s="1"/>
  <c r="D47" i="18" s="1"/>
  <c r="D48" i="18" s="1"/>
  <c r="D49" i="18" s="1"/>
  <c r="D50" i="18" s="1"/>
  <c r="D51" i="18" s="1"/>
  <c r="D52" i="18" s="1"/>
  <c r="D53" i="18" s="1"/>
  <c r="D54" i="18" s="1"/>
  <c r="D55" i="18" s="1"/>
  <c r="D56" i="18" s="1"/>
  <c r="D57" i="18" s="1"/>
  <c r="D58" i="18" s="1"/>
  <c r="D59" i="18" s="1"/>
  <c r="D60" i="18" s="1"/>
  <c r="D61" i="18" s="1"/>
  <c r="D62" i="18" s="1"/>
  <c r="D63" i="18" s="1"/>
  <c r="D64" i="18" s="1"/>
  <c r="D65" i="18" s="1"/>
  <c r="D66" i="18" s="1"/>
  <c r="D67" i="18" s="1"/>
  <c r="D68" i="18" s="1"/>
  <c r="D69" i="18" s="1"/>
  <c r="D70" i="18" s="1"/>
  <c r="D71" i="18" s="1"/>
  <c r="D72" i="18" s="1"/>
  <c r="D73" i="18" s="1"/>
  <c r="D74" i="18" s="1"/>
  <c r="D75" i="18" s="1"/>
  <c r="D76" i="18" s="1"/>
  <c r="D77" i="18" s="1"/>
  <c r="D78" i="18" s="1"/>
  <c r="D79" i="18" s="1"/>
  <c r="D80" i="18" s="1"/>
  <c r="D81" i="18" s="1"/>
  <c r="D82" i="18" s="1"/>
  <c r="D83" i="18" s="1"/>
  <c r="D84" i="18" s="1"/>
  <c r="D85" i="18" s="1"/>
  <c r="D86" i="18" s="1"/>
  <c r="D87" i="18" s="1"/>
  <c r="D88" i="18" s="1"/>
  <c r="D89" i="18" s="1"/>
  <c r="D90" i="18" s="1"/>
  <c r="F18" i="18"/>
  <c r="F19" i="18" s="1"/>
  <c r="F20" i="18" s="1"/>
  <c r="F21" i="18" s="1"/>
  <c r="F22" i="18" s="1"/>
  <c r="F23" i="18" s="1"/>
  <c r="F24" i="18" s="1"/>
  <c r="F25" i="18" s="1"/>
  <c r="F26" i="18" s="1"/>
  <c r="F27" i="18" s="1"/>
  <c r="F28" i="18" s="1"/>
  <c r="F29" i="18" s="1"/>
  <c r="F30" i="18" s="1"/>
  <c r="F31" i="18" s="1"/>
  <c r="F32" i="18" s="1"/>
  <c r="F33" i="18" s="1"/>
  <c r="F34" i="18" s="1"/>
  <c r="F35" i="18" s="1"/>
  <c r="F36" i="18" s="1"/>
  <c r="F37" i="18" s="1"/>
  <c r="F38" i="18" s="1"/>
  <c r="F39" i="18" s="1"/>
  <c r="F40" i="18" s="1"/>
  <c r="F41" i="18" s="1"/>
  <c r="F42" i="18" s="1"/>
  <c r="F43" i="18" s="1"/>
  <c r="F44" i="18" s="1"/>
  <c r="F45" i="18" s="1"/>
  <c r="F46" i="18" s="1"/>
  <c r="F47" i="18" s="1"/>
  <c r="F48" i="18" s="1"/>
  <c r="F49" i="18" s="1"/>
  <c r="F50" i="18" s="1"/>
  <c r="F51" i="18" s="1"/>
  <c r="F52" i="18" s="1"/>
  <c r="F53" i="18" s="1"/>
  <c r="F54" i="18" s="1"/>
  <c r="F55" i="18" s="1"/>
  <c r="F56" i="18" s="1"/>
  <c r="F57" i="18" s="1"/>
  <c r="F58" i="18" s="1"/>
  <c r="F59" i="18" s="1"/>
  <c r="F60" i="18" s="1"/>
  <c r="F61" i="18" s="1"/>
  <c r="F62" i="18" s="1"/>
  <c r="F63" i="18" s="1"/>
  <c r="F64" i="18" s="1"/>
  <c r="F65" i="18" s="1"/>
  <c r="F66" i="18" s="1"/>
  <c r="F67" i="18" s="1"/>
  <c r="F68" i="18" s="1"/>
  <c r="F69" i="18" s="1"/>
  <c r="F70" i="18" s="1"/>
  <c r="F71" i="18" s="1"/>
  <c r="F72" i="18" s="1"/>
  <c r="F73" i="18" s="1"/>
  <c r="F74" i="18" s="1"/>
  <c r="F75" i="18" s="1"/>
  <c r="F76" i="18" s="1"/>
  <c r="F77" i="18" s="1"/>
  <c r="F78" i="18" s="1"/>
  <c r="F79" i="18" s="1"/>
  <c r="F80" i="18" s="1"/>
  <c r="F81" i="18" s="1"/>
  <c r="F82" i="18" s="1"/>
  <c r="F83" i="18" s="1"/>
  <c r="F84" i="18" s="1"/>
  <c r="F85" i="18" s="1"/>
  <c r="F86" i="18" s="1"/>
  <c r="F87" i="18" s="1"/>
  <c r="F88" i="18" s="1"/>
  <c r="F89" i="18" s="1"/>
  <c r="F90" i="18" s="1"/>
  <c r="I18" i="18"/>
  <c r="I19" i="18" s="1"/>
  <c r="I20" i="18" s="1"/>
  <c r="I21" i="18" s="1"/>
  <c r="I22" i="18" s="1"/>
  <c r="I23" i="18" s="1"/>
  <c r="I24" i="18" s="1"/>
  <c r="I25" i="18" s="1"/>
  <c r="I26" i="18" s="1"/>
  <c r="I27" i="18" s="1"/>
  <c r="I28" i="18" s="1"/>
  <c r="I29" i="18" s="1"/>
  <c r="I30" i="18" s="1"/>
  <c r="I31" i="18" s="1"/>
  <c r="I32" i="18" s="1"/>
  <c r="I33" i="18" s="1"/>
  <c r="I34" i="18" s="1"/>
  <c r="I35" i="18" s="1"/>
  <c r="I36" i="18" s="1"/>
  <c r="I37" i="18" s="1"/>
  <c r="I38" i="18" s="1"/>
  <c r="I39" i="18" s="1"/>
  <c r="I40" i="18" s="1"/>
  <c r="I41" i="18" s="1"/>
  <c r="I42" i="18" s="1"/>
  <c r="I43" i="18" s="1"/>
  <c r="I44" i="18" s="1"/>
  <c r="I45" i="18" s="1"/>
  <c r="I46" i="18" s="1"/>
  <c r="I47" i="18" s="1"/>
  <c r="I48" i="18" s="1"/>
  <c r="I49" i="18" s="1"/>
  <c r="I50" i="18" s="1"/>
  <c r="I51" i="18" s="1"/>
  <c r="I52" i="18" s="1"/>
  <c r="I53" i="18" s="1"/>
  <c r="I54" i="18" s="1"/>
  <c r="I55" i="18" s="1"/>
  <c r="I56" i="18" s="1"/>
  <c r="I57" i="18" s="1"/>
  <c r="I58" i="18" s="1"/>
  <c r="I59" i="18" s="1"/>
  <c r="I60" i="18" s="1"/>
  <c r="I61" i="18" s="1"/>
  <c r="I62" i="18" s="1"/>
  <c r="I63" i="18" s="1"/>
  <c r="I64" i="18" s="1"/>
  <c r="I65" i="18" s="1"/>
  <c r="I66" i="18" s="1"/>
  <c r="I67" i="18" s="1"/>
  <c r="I68" i="18" s="1"/>
  <c r="I69" i="18" s="1"/>
  <c r="I70" i="18" s="1"/>
  <c r="I71" i="18" s="1"/>
  <c r="I72" i="18" s="1"/>
  <c r="I73" i="18" s="1"/>
  <c r="I74" i="18" s="1"/>
  <c r="I75" i="18" s="1"/>
  <c r="I76" i="18" s="1"/>
  <c r="I77" i="18" s="1"/>
  <c r="I78" i="18" s="1"/>
  <c r="I79" i="18" s="1"/>
  <c r="I80" i="18" s="1"/>
  <c r="I81" i="18" s="1"/>
  <c r="I82" i="18" s="1"/>
  <c r="I83" i="18" s="1"/>
  <c r="I84" i="18" s="1"/>
  <c r="I85" i="18" s="1"/>
  <c r="I86" i="18" s="1"/>
  <c r="I87" i="18" s="1"/>
  <c r="I88" i="18" s="1"/>
  <c r="I89" i="18" s="1"/>
  <c r="I90" i="18" s="1"/>
  <c r="G18" i="18"/>
  <c r="G19" i="18" s="1"/>
  <c r="G20" i="18" s="1"/>
  <c r="G21" i="18" s="1"/>
  <c r="G22" i="18" s="1"/>
  <c r="G23" i="18" s="1"/>
  <c r="G24" i="18" s="1"/>
  <c r="G25" i="18" s="1"/>
  <c r="G26" i="18" s="1"/>
  <c r="G27" i="18" s="1"/>
  <c r="G28" i="18" s="1"/>
  <c r="G29" i="18" s="1"/>
  <c r="G30" i="18" s="1"/>
  <c r="G31" i="18" s="1"/>
  <c r="G32" i="18" s="1"/>
  <c r="G33" i="18" s="1"/>
  <c r="G34" i="18" s="1"/>
  <c r="G35" i="18" s="1"/>
  <c r="G36" i="18" s="1"/>
  <c r="G37" i="18" s="1"/>
  <c r="G38" i="18" s="1"/>
  <c r="G39" i="18" s="1"/>
  <c r="G40" i="18" s="1"/>
  <c r="G41" i="18" s="1"/>
  <c r="G42" i="18" s="1"/>
  <c r="G43" i="18" s="1"/>
  <c r="G44" i="18" s="1"/>
  <c r="G45" i="18" s="1"/>
  <c r="G46" i="18" s="1"/>
  <c r="G47" i="18" s="1"/>
  <c r="G48" i="18" s="1"/>
  <c r="G49" i="18" s="1"/>
  <c r="G50" i="18" s="1"/>
  <c r="G51" i="18" s="1"/>
  <c r="G52" i="18" s="1"/>
  <c r="G53" i="18" s="1"/>
  <c r="G54" i="18" s="1"/>
  <c r="G55" i="18" s="1"/>
  <c r="G56" i="18" s="1"/>
  <c r="G57" i="18" s="1"/>
  <c r="G58" i="18" s="1"/>
  <c r="G59" i="18" s="1"/>
  <c r="G60" i="18" s="1"/>
  <c r="G61" i="18" s="1"/>
  <c r="G62" i="18" s="1"/>
  <c r="G63" i="18" s="1"/>
  <c r="G64" i="18" s="1"/>
  <c r="G65" i="18" s="1"/>
  <c r="G66" i="18" s="1"/>
  <c r="G67" i="18" s="1"/>
  <c r="G68" i="18" s="1"/>
  <c r="G69" i="18" s="1"/>
  <c r="G70" i="18" s="1"/>
  <c r="G71" i="18" s="1"/>
  <c r="G72" i="18" s="1"/>
  <c r="G73" i="18" s="1"/>
  <c r="G74" i="18" s="1"/>
  <c r="G75" i="18" s="1"/>
  <c r="G76" i="18" s="1"/>
  <c r="G77" i="18" s="1"/>
  <c r="G78" i="18" s="1"/>
  <c r="G79" i="18" s="1"/>
  <c r="G80" i="18" s="1"/>
  <c r="G81" i="18" s="1"/>
  <c r="G82" i="18" s="1"/>
  <c r="G83" i="18" s="1"/>
  <c r="G84" i="18" s="1"/>
  <c r="G85" i="18" s="1"/>
  <c r="G86" i="18" s="1"/>
  <c r="G87" i="18" s="1"/>
  <c r="G88" i="18" s="1"/>
  <c r="G89" i="18" s="1"/>
  <c r="G90" i="18" s="1"/>
  <c r="B18" i="18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H18" i="18"/>
  <c r="H19" i="18" s="1"/>
  <c r="H20" i="18" s="1"/>
  <c r="H21" i="18" s="1"/>
  <c r="H22" i="18" s="1"/>
  <c r="H23" i="18" s="1"/>
  <c r="H24" i="18" s="1"/>
  <c r="H25" i="18" s="1"/>
  <c r="H26" i="18" s="1"/>
  <c r="H27" i="18" s="1"/>
  <c r="H28" i="18" s="1"/>
  <c r="H29" i="18" s="1"/>
  <c r="H30" i="18" s="1"/>
  <c r="H31" i="18" s="1"/>
  <c r="H32" i="18" s="1"/>
  <c r="H33" i="18" s="1"/>
  <c r="H34" i="18" s="1"/>
  <c r="H35" i="18" s="1"/>
  <c r="H36" i="18" s="1"/>
  <c r="H37" i="18" s="1"/>
  <c r="H38" i="18" s="1"/>
  <c r="H39" i="18" s="1"/>
  <c r="H40" i="18" s="1"/>
  <c r="H41" i="18" s="1"/>
  <c r="H42" i="18" s="1"/>
  <c r="H43" i="18" s="1"/>
  <c r="H44" i="18" s="1"/>
  <c r="H45" i="18" s="1"/>
  <c r="H46" i="18" s="1"/>
  <c r="H47" i="18" s="1"/>
  <c r="H48" i="18" s="1"/>
  <c r="H49" i="18" s="1"/>
  <c r="H50" i="18" s="1"/>
  <c r="H51" i="18" s="1"/>
  <c r="H52" i="18" s="1"/>
  <c r="H53" i="18" s="1"/>
  <c r="H54" i="18" s="1"/>
  <c r="H55" i="18" s="1"/>
  <c r="H56" i="18" s="1"/>
  <c r="H57" i="18" s="1"/>
  <c r="H58" i="18" s="1"/>
  <c r="H59" i="18" s="1"/>
  <c r="H60" i="18" s="1"/>
  <c r="H61" i="18" s="1"/>
  <c r="H62" i="18" s="1"/>
  <c r="H63" i="18" s="1"/>
  <c r="H64" i="18" s="1"/>
  <c r="H65" i="18" s="1"/>
  <c r="H66" i="18" s="1"/>
  <c r="H67" i="18" s="1"/>
  <c r="H68" i="18" s="1"/>
  <c r="H69" i="18" s="1"/>
  <c r="H70" i="18" s="1"/>
  <c r="H71" i="18" s="1"/>
  <c r="H72" i="18" s="1"/>
  <c r="H73" i="18" s="1"/>
  <c r="H74" i="18" s="1"/>
  <c r="H75" i="18" s="1"/>
  <c r="H76" i="18" s="1"/>
  <c r="H77" i="18" s="1"/>
  <c r="H78" i="18" s="1"/>
  <c r="H79" i="18" s="1"/>
  <c r="H80" i="18" s="1"/>
  <c r="H81" i="18" s="1"/>
  <c r="H82" i="18" s="1"/>
  <c r="H83" i="18" s="1"/>
  <c r="H84" i="18" s="1"/>
  <c r="H85" i="18" s="1"/>
  <c r="H86" i="18" s="1"/>
  <c r="H87" i="18" s="1"/>
  <c r="H88" i="18" s="1"/>
  <c r="H89" i="18" s="1"/>
  <c r="H90" i="18" s="1"/>
  <c r="C10" i="1"/>
  <c r="G12" i="8" l="1"/>
  <c r="E59" i="17"/>
  <c r="E60" i="17" s="1"/>
  <c r="E62" i="17" s="1"/>
  <c r="G14" i="8" l="1"/>
  <c r="L14" i="8" s="1"/>
  <c r="E11" i="1" s="1"/>
  <c r="G20" i="8"/>
  <c r="L20" i="8" s="1"/>
  <c r="E17" i="1" s="1"/>
  <c r="G18" i="8"/>
  <c r="L18" i="8" s="1"/>
  <c r="E15" i="1" s="1"/>
  <c r="G23" i="8"/>
  <c r="G21" i="8"/>
  <c r="L21" i="8" s="1"/>
  <c r="E18" i="1" s="1"/>
  <c r="G29" i="8"/>
  <c r="G13" i="8"/>
  <c r="L13" i="8" s="1"/>
  <c r="E10" i="1" s="1"/>
  <c r="G15" i="8"/>
  <c r="L15" i="8" s="1"/>
  <c r="E12" i="1" s="1"/>
  <c r="G22" i="8"/>
  <c r="G27" i="8"/>
  <c r="G26" i="8"/>
  <c r="G28" i="8"/>
  <c r="G25" i="8"/>
  <c r="G30" i="8"/>
  <c r="G17" i="8"/>
  <c r="L17" i="8" s="1"/>
  <c r="E14" i="1" s="1"/>
  <c r="G32" i="8"/>
  <c r="G19" i="8"/>
  <c r="L19" i="8" s="1"/>
  <c r="E16" i="1" s="1"/>
  <c r="G24" i="8"/>
  <c r="G16" i="8"/>
  <c r="L16" i="8" s="1"/>
  <c r="E13" i="1" s="1"/>
  <c r="G31" i="8"/>
  <c r="P10" i="18"/>
  <c r="O10" i="18"/>
  <c r="M13" i="18" l="1"/>
  <c r="M14" i="18" s="1"/>
  <c r="M15" i="18" s="1"/>
  <c r="M16" i="18" s="1"/>
  <c r="M17" i="18" s="1"/>
  <c r="M18" i="18" s="1"/>
  <c r="M19" i="18" s="1"/>
  <c r="M20" i="18" s="1"/>
  <c r="M21" i="18" s="1"/>
  <c r="M22" i="18" s="1"/>
  <c r="M23" i="18" s="1"/>
  <c r="M24" i="18" s="1"/>
  <c r="M25" i="18" s="1"/>
  <c r="M26" i="18" s="1"/>
  <c r="M27" i="18" s="1"/>
  <c r="M28" i="18" s="1"/>
  <c r="M29" i="18" s="1"/>
  <c r="M30" i="18" s="1"/>
  <c r="M31" i="18" s="1"/>
  <c r="M32" i="18" s="1"/>
  <c r="M33" i="18" s="1"/>
  <c r="M34" i="18" s="1"/>
  <c r="M35" i="18" s="1"/>
  <c r="M36" i="18" s="1"/>
  <c r="M37" i="18" s="1"/>
  <c r="M38" i="18" s="1"/>
  <c r="M39" i="18" s="1"/>
  <c r="M40" i="18" s="1"/>
  <c r="M41" i="18" s="1"/>
  <c r="M42" i="18" s="1"/>
  <c r="M43" i="18" s="1"/>
  <c r="M44" i="18" s="1"/>
  <c r="M45" i="18" s="1"/>
  <c r="M46" i="18" s="1"/>
  <c r="M47" i="18" s="1"/>
  <c r="M48" i="18" s="1"/>
  <c r="M49" i="18" s="1"/>
  <c r="M50" i="18" s="1"/>
  <c r="M51" i="18" s="1"/>
  <c r="M52" i="18" s="1"/>
  <c r="M53" i="18" s="1"/>
  <c r="M54" i="18" s="1"/>
  <c r="M55" i="18" s="1"/>
  <c r="M56" i="18" s="1"/>
  <c r="M57" i="18" s="1"/>
  <c r="M58" i="18" s="1"/>
  <c r="M59" i="18" s="1"/>
  <c r="M60" i="18" s="1"/>
  <c r="M61" i="18" s="1"/>
  <c r="M62" i="18" s="1"/>
  <c r="M63" i="18" s="1"/>
  <c r="M64" i="18" s="1"/>
  <c r="M65" i="18" s="1"/>
  <c r="M66" i="18" s="1"/>
  <c r="M67" i="18" s="1"/>
  <c r="M68" i="18" s="1"/>
  <c r="M69" i="18" s="1"/>
  <c r="M70" i="18" s="1"/>
  <c r="M71" i="18" s="1"/>
  <c r="M72" i="18" s="1"/>
  <c r="M73" i="18" s="1"/>
  <c r="M74" i="18" s="1"/>
  <c r="M75" i="18" s="1"/>
  <c r="M76" i="18" s="1"/>
  <c r="M77" i="18" s="1"/>
  <c r="M78" i="18" s="1"/>
  <c r="M79" i="18" s="1"/>
  <c r="M80" i="18" s="1"/>
  <c r="M81" i="18" s="1"/>
  <c r="M82" i="18" s="1"/>
  <c r="M83" i="18" s="1"/>
  <c r="M84" i="18" s="1"/>
  <c r="M85" i="18" s="1"/>
  <c r="M86" i="18" s="1"/>
  <c r="M87" i="18" s="1"/>
  <c r="M88" i="18" s="1"/>
  <c r="M89" i="18" s="1"/>
  <c r="M90" i="18" s="1"/>
  <c r="L13" i="18"/>
  <c r="L14" i="18" s="1"/>
  <c r="L15" i="18" s="1"/>
  <c r="L16" i="18" s="1"/>
  <c r="L17" i="18" s="1"/>
  <c r="L18" i="18" s="1"/>
  <c r="L19" i="18" s="1"/>
  <c r="L20" i="18" s="1"/>
  <c r="L21" i="18" s="1"/>
  <c r="L22" i="18" s="1"/>
  <c r="L23" i="18" s="1"/>
  <c r="L24" i="18" s="1"/>
  <c r="L25" i="18" s="1"/>
  <c r="L26" i="18" s="1"/>
  <c r="L27" i="18" s="1"/>
  <c r="L28" i="18" s="1"/>
  <c r="L29" i="18" s="1"/>
  <c r="L30" i="18" s="1"/>
  <c r="L31" i="18" s="1"/>
  <c r="L32" i="18" s="1"/>
  <c r="L33" i="18" s="1"/>
  <c r="L34" i="18" s="1"/>
  <c r="L35" i="18" s="1"/>
  <c r="L36" i="18" s="1"/>
  <c r="L37" i="18" s="1"/>
  <c r="L38" i="18" s="1"/>
  <c r="L39" i="18" s="1"/>
  <c r="L40" i="18" s="1"/>
  <c r="L41" i="18" s="1"/>
  <c r="L42" i="18" s="1"/>
  <c r="L43" i="18" s="1"/>
  <c r="L44" i="18" s="1"/>
  <c r="L45" i="18" s="1"/>
  <c r="L46" i="18" s="1"/>
  <c r="L47" i="18" s="1"/>
  <c r="L48" i="18" s="1"/>
  <c r="L49" i="18" s="1"/>
  <c r="L50" i="18" s="1"/>
  <c r="L51" i="18" s="1"/>
  <c r="L52" i="18" s="1"/>
  <c r="L53" i="18" s="1"/>
  <c r="L54" i="18" s="1"/>
  <c r="L55" i="18" s="1"/>
  <c r="L56" i="18" s="1"/>
  <c r="L57" i="18" s="1"/>
  <c r="L58" i="18" s="1"/>
  <c r="L59" i="18" s="1"/>
  <c r="L60" i="18" s="1"/>
  <c r="L61" i="18" s="1"/>
  <c r="L62" i="18" s="1"/>
  <c r="L63" i="18" s="1"/>
  <c r="L64" i="18" s="1"/>
  <c r="L65" i="18" s="1"/>
  <c r="L66" i="18" s="1"/>
  <c r="L67" i="18" s="1"/>
  <c r="L68" i="18" s="1"/>
  <c r="L69" i="18" s="1"/>
  <c r="L70" i="18" s="1"/>
  <c r="L71" i="18" s="1"/>
  <c r="L72" i="18" s="1"/>
  <c r="L73" i="18" s="1"/>
  <c r="L74" i="18" s="1"/>
  <c r="L75" i="18" s="1"/>
  <c r="L76" i="18" s="1"/>
  <c r="L77" i="18" s="1"/>
  <c r="L78" i="18" s="1"/>
  <c r="L79" i="18" s="1"/>
  <c r="L80" i="18" s="1"/>
  <c r="L81" i="18" s="1"/>
  <c r="L82" i="18" s="1"/>
  <c r="L83" i="18" s="1"/>
  <c r="L84" i="18" s="1"/>
  <c r="L85" i="18" s="1"/>
  <c r="L86" i="18" s="1"/>
  <c r="L87" i="18" s="1"/>
  <c r="L88" i="18" s="1"/>
  <c r="L89" i="18" s="1"/>
  <c r="L90" i="18" s="1"/>
  <c r="P11" i="18" l="1"/>
  <c r="E8" i="20" s="1"/>
  <c r="K13" i="18" l="1"/>
  <c r="P12" i="18"/>
  <c r="B9" i="20" s="1"/>
  <c r="E9" i="20" s="1"/>
  <c r="K14" i="18" l="1"/>
  <c r="P13" i="18"/>
  <c r="B10" i="20" s="1"/>
  <c r="E10" i="20" s="1"/>
  <c r="K15" i="18" l="1"/>
  <c r="P14" i="18"/>
  <c r="B11" i="20" s="1"/>
  <c r="E11" i="20" s="1"/>
  <c r="K16" i="18" l="1"/>
  <c r="P15" i="18"/>
  <c r="B12" i="20" s="1"/>
  <c r="E12" i="20" s="1"/>
  <c r="K17" i="18" l="1"/>
  <c r="P16" i="18"/>
  <c r="B13" i="20" s="1"/>
  <c r="E13" i="20" s="1"/>
  <c r="K18" i="18" l="1"/>
  <c r="O18" i="18" s="1"/>
  <c r="B15" i="19" s="1"/>
  <c r="E15" i="19" s="1"/>
  <c r="P17" i="18"/>
  <c r="B14" i="20" s="1"/>
  <c r="E14" i="20" s="1"/>
  <c r="O11" i="18"/>
  <c r="O12" i="18"/>
  <c r="B9" i="19" s="1"/>
  <c r="E9" i="19" s="1"/>
  <c r="O13" i="18"/>
  <c r="B10" i="19" s="1"/>
  <c r="E10" i="19" s="1"/>
  <c r="O14" i="18"/>
  <c r="B11" i="19" s="1"/>
  <c r="E11" i="19" s="1"/>
  <c r="O15" i="18"/>
  <c r="B12" i="19" s="1"/>
  <c r="E12" i="19" s="1"/>
  <c r="O16" i="18"/>
  <c r="B13" i="19" s="1"/>
  <c r="E13" i="19" s="1"/>
  <c r="O17" i="18"/>
  <c r="B14" i="19" s="1"/>
  <c r="E14" i="19" s="1"/>
  <c r="E8" i="19" l="1"/>
  <c r="K19" i="18"/>
  <c r="P18" i="18"/>
  <c r="B15" i="20" s="1"/>
  <c r="E15" i="20" s="1"/>
  <c r="C36" i="17"/>
  <c r="D7" i="17"/>
  <c r="E63" i="17" l="1"/>
  <c r="E65" i="17" s="1"/>
  <c r="H37" i="17" s="1"/>
  <c r="N60" i="1"/>
  <c r="N73" i="1"/>
  <c r="N86" i="1"/>
  <c r="N39" i="1"/>
  <c r="N88" i="1"/>
  <c r="N41" i="1"/>
  <c r="N53" i="1"/>
  <c r="N65" i="1"/>
  <c r="N77" i="1"/>
  <c r="N89" i="1"/>
  <c r="N30" i="1"/>
  <c r="N54" i="1"/>
  <c r="N66" i="1"/>
  <c r="N90" i="1"/>
  <c r="N69" i="1"/>
  <c r="N61" i="1"/>
  <c r="N74" i="1"/>
  <c r="N75" i="1"/>
  <c r="N42" i="1"/>
  <c r="N78" i="1"/>
  <c r="N45" i="1"/>
  <c r="N49" i="1"/>
  <c r="N38" i="1"/>
  <c r="N87" i="1"/>
  <c r="N64" i="1"/>
  <c r="N31" i="1"/>
  <c r="N43" i="1"/>
  <c r="N55" i="1"/>
  <c r="N67" i="1"/>
  <c r="N79" i="1"/>
  <c r="N32" i="1"/>
  <c r="N44" i="1"/>
  <c r="N56" i="1"/>
  <c r="N68" i="1"/>
  <c r="N80" i="1"/>
  <c r="N33" i="1"/>
  <c r="N57" i="1"/>
  <c r="N81" i="1"/>
  <c r="N50" i="1"/>
  <c r="N51" i="1"/>
  <c r="N52" i="1"/>
  <c r="N40" i="1"/>
  <c r="N76" i="1"/>
  <c r="N34" i="1"/>
  <c r="N46" i="1"/>
  <c r="N58" i="1"/>
  <c r="N70" i="1"/>
  <c r="N82" i="1"/>
  <c r="N35" i="1"/>
  <c r="N47" i="1"/>
  <c r="N59" i="1"/>
  <c r="N71" i="1"/>
  <c r="N83" i="1"/>
  <c r="N36" i="1"/>
  <c r="N48" i="1"/>
  <c r="N72" i="1"/>
  <c r="N84" i="1"/>
  <c r="N37" i="1"/>
  <c r="N85" i="1"/>
  <c r="N62" i="1"/>
  <c r="N63" i="1"/>
  <c r="K20" i="18"/>
  <c r="P19" i="18"/>
  <c r="B16" i="20" s="1"/>
  <c r="E16" i="20" s="1"/>
  <c r="O19" i="18"/>
  <c r="B16" i="19" s="1"/>
  <c r="E16" i="19" s="1"/>
  <c r="K21" i="18" l="1"/>
  <c r="P20" i="18"/>
  <c r="B17" i="20" s="1"/>
  <c r="E17" i="20" s="1"/>
  <c r="O20" i="18"/>
  <c r="B17" i="19" s="1"/>
  <c r="E17" i="19" s="1"/>
  <c r="K22" i="18" l="1"/>
  <c r="P21" i="18"/>
  <c r="B18" i="20" s="1"/>
  <c r="E18" i="20" s="1"/>
  <c r="O21" i="18"/>
  <c r="B18" i="19" s="1"/>
  <c r="E18" i="19" s="1"/>
  <c r="K23" i="18" l="1"/>
  <c r="P22" i="18"/>
  <c r="B19" i="20" s="1"/>
  <c r="E19" i="20" s="1"/>
  <c r="O22" i="18"/>
  <c r="B19" i="19" s="1"/>
  <c r="E19" i="19" s="1"/>
  <c r="K24" i="18" l="1"/>
  <c r="P23" i="18"/>
  <c r="B20" i="20" s="1"/>
  <c r="E20" i="20" s="1"/>
  <c r="O23" i="18"/>
  <c r="B20" i="19" s="1"/>
  <c r="E20" i="19" s="1"/>
  <c r="K25" i="18" l="1"/>
  <c r="P24" i="18"/>
  <c r="B21" i="20" s="1"/>
  <c r="E21" i="20" s="1"/>
  <c r="O24" i="18"/>
  <c r="B21" i="19" s="1"/>
  <c r="E21" i="19" s="1"/>
  <c r="A84" i="12"/>
  <c r="D4" i="12"/>
  <c r="K26" i="18" l="1"/>
  <c r="P25" i="18"/>
  <c r="B22" i="20" s="1"/>
  <c r="E22" i="20" s="1"/>
  <c r="O25" i="18"/>
  <c r="B22" i="19" s="1"/>
  <c r="E22" i="19" s="1"/>
  <c r="D5" i="12"/>
  <c r="K27" i="18" l="1"/>
  <c r="P26" i="18"/>
  <c r="B23" i="20" s="1"/>
  <c r="E23" i="20" s="1"/>
  <c r="O26" i="18"/>
  <c r="B23" i="19" s="1"/>
  <c r="E23" i="19" s="1"/>
  <c r="D6" i="12"/>
  <c r="C12" i="1"/>
  <c r="K28" i="18" l="1"/>
  <c r="P27" i="18"/>
  <c r="B24" i="20" s="1"/>
  <c r="E24" i="20" s="1"/>
  <c r="O27" i="18"/>
  <c r="B24" i="19" s="1"/>
  <c r="E24" i="19" s="1"/>
  <c r="D7" i="12"/>
  <c r="C13" i="1"/>
  <c r="K29" i="18" l="1"/>
  <c r="P28" i="18"/>
  <c r="B25" i="20" s="1"/>
  <c r="E25" i="20" s="1"/>
  <c r="O28" i="18"/>
  <c r="B25" i="19" s="1"/>
  <c r="E25" i="19" s="1"/>
  <c r="D8" i="12"/>
  <c r="C14" i="1"/>
  <c r="E34" i="17"/>
  <c r="E33" i="17"/>
  <c r="K30" i="18" l="1"/>
  <c r="P29" i="18"/>
  <c r="B26" i="20" s="1"/>
  <c r="E26" i="20" s="1"/>
  <c r="O29" i="18"/>
  <c r="B26" i="19" s="1"/>
  <c r="E26" i="19" s="1"/>
  <c r="D9" i="12"/>
  <c r="C15" i="1"/>
  <c r="E35" i="17"/>
  <c r="F35" i="17" s="1"/>
  <c r="H35" i="17" s="1"/>
  <c r="F34" i="17"/>
  <c r="H34" i="17" s="1"/>
  <c r="F33" i="17"/>
  <c r="H33" i="17" s="1"/>
  <c r="K31" i="18" l="1"/>
  <c r="P30" i="18"/>
  <c r="O30" i="18"/>
  <c r="D10" i="12"/>
  <c r="C16" i="1"/>
  <c r="K32" i="18" l="1"/>
  <c r="P31" i="18"/>
  <c r="O31" i="18"/>
  <c r="E32" i="17"/>
  <c r="F32" i="17" s="1"/>
  <c r="H32" i="17" s="1"/>
  <c r="D36" i="17"/>
  <c r="D11" i="12"/>
  <c r="C17" i="1"/>
  <c r="E31" i="17"/>
  <c r="K33" i="18" l="1"/>
  <c r="P32" i="18"/>
  <c r="O32" i="18"/>
  <c r="E36" i="17"/>
  <c r="F36" i="17" s="1"/>
  <c r="D12" i="12"/>
  <c r="C18" i="1"/>
  <c r="F31" i="17"/>
  <c r="H31" i="17" s="1"/>
  <c r="H36" i="17" s="1"/>
  <c r="H38" i="17" s="1"/>
  <c r="J38" i="17" l="1"/>
  <c r="D10" i="14"/>
  <c r="K34" i="18"/>
  <c r="P33" i="18"/>
  <c r="O33" i="18"/>
  <c r="D13" i="12"/>
  <c r="C19" i="1"/>
  <c r="B8" i="14"/>
  <c r="B10" i="1"/>
  <c r="D9" i="14" l="1"/>
  <c r="G11" i="1"/>
  <c r="I12" i="8"/>
  <c r="A7" i="19"/>
  <c r="A7" i="20" s="1"/>
  <c r="C7" i="20"/>
  <c r="D7" i="20" s="1"/>
  <c r="C7" i="19"/>
  <c r="D7" i="19" s="1"/>
  <c r="A8" i="21"/>
  <c r="D8" i="21"/>
  <c r="E8" i="21" s="1"/>
  <c r="K35" i="18"/>
  <c r="P34" i="18"/>
  <c r="O34" i="18"/>
  <c r="D14" i="12"/>
  <c r="C20" i="1"/>
  <c r="I29" i="8" l="1"/>
  <c r="I23" i="8"/>
  <c r="L23" i="8" s="1"/>
  <c r="E20" i="1" s="1"/>
  <c r="I28" i="8"/>
  <c r="I30" i="8"/>
  <c r="I32" i="8"/>
  <c r="I24" i="8"/>
  <c r="L24" i="8" s="1"/>
  <c r="E21" i="1" s="1"/>
  <c r="I25" i="8"/>
  <c r="I27" i="8"/>
  <c r="I31" i="8"/>
  <c r="I22" i="8"/>
  <c r="L22" i="8" s="1"/>
  <c r="E19" i="1" s="1"/>
  <c r="I26" i="8"/>
  <c r="K36" i="18"/>
  <c r="P35" i="18"/>
  <c r="O35" i="18"/>
  <c r="D15" i="12"/>
  <c r="C21" i="1"/>
  <c r="K37" i="18" l="1"/>
  <c r="P36" i="18"/>
  <c r="O36" i="18"/>
  <c r="D16" i="12"/>
  <c r="C22" i="1"/>
  <c r="J12" i="8" l="1"/>
  <c r="K38" i="18"/>
  <c r="P37" i="18"/>
  <c r="O37" i="18"/>
  <c r="D17" i="12"/>
  <c r="C23" i="1"/>
  <c r="J32" i="8" l="1"/>
  <c r="J30" i="8"/>
  <c r="J29" i="8"/>
  <c r="J28" i="8"/>
  <c r="J31" i="8"/>
  <c r="J26" i="8"/>
  <c r="L26" i="8" s="1"/>
  <c r="E23" i="1" s="1"/>
  <c r="J27" i="8"/>
  <c r="J25" i="8"/>
  <c r="L25" i="8" s="1"/>
  <c r="E22" i="1" s="1"/>
  <c r="K39" i="18"/>
  <c r="P38" i="18"/>
  <c r="O38" i="18"/>
  <c r="D18" i="12"/>
  <c r="C24" i="1"/>
  <c r="B9" i="14"/>
  <c r="B10" i="14" s="1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B61" i="14" s="1"/>
  <c r="B62" i="14" s="1"/>
  <c r="B63" i="14" s="1"/>
  <c r="B64" i="14" s="1"/>
  <c r="B65" i="14" s="1"/>
  <c r="B66" i="14" s="1"/>
  <c r="B67" i="14" s="1"/>
  <c r="B68" i="14" s="1"/>
  <c r="B69" i="14" s="1"/>
  <c r="B70" i="14" s="1"/>
  <c r="B71" i="14" s="1"/>
  <c r="B72" i="14" s="1"/>
  <c r="B73" i="14" s="1"/>
  <c r="B74" i="14" s="1"/>
  <c r="B75" i="14" s="1"/>
  <c r="B76" i="14" s="1"/>
  <c r="B77" i="14" s="1"/>
  <c r="B78" i="14" s="1"/>
  <c r="B79" i="14" s="1"/>
  <c r="B80" i="14" s="1"/>
  <c r="B81" i="14" s="1"/>
  <c r="B82" i="14" s="1"/>
  <c r="B83" i="14" s="1"/>
  <c r="B84" i="14" s="1"/>
  <c r="B85" i="14" s="1"/>
  <c r="B86" i="14" s="1"/>
  <c r="B87" i="14" s="1"/>
  <c r="B88" i="14" s="1"/>
  <c r="K12" i="8" l="1"/>
  <c r="K40" i="18"/>
  <c r="P39" i="18"/>
  <c r="O39" i="18"/>
  <c r="G12" i="1"/>
  <c r="D19" i="12"/>
  <c r="C25" i="1"/>
  <c r="B11" i="1"/>
  <c r="K32" i="8" l="1"/>
  <c r="L32" i="8" s="1"/>
  <c r="E29" i="1" s="1"/>
  <c r="K27" i="8"/>
  <c r="L27" i="8" s="1"/>
  <c r="E24" i="1" s="1"/>
  <c r="K29" i="8"/>
  <c r="L29" i="8" s="1"/>
  <c r="E26" i="1" s="1"/>
  <c r="K31" i="8"/>
  <c r="L31" i="8" s="1"/>
  <c r="E28" i="1" s="1"/>
  <c r="K30" i="8"/>
  <c r="L30" i="8" s="1"/>
  <c r="E27" i="1" s="1"/>
  <c r="K28" i="8"/>
  <c r="L28" i="8" s="1"/>
  <c r="E25" i="1" s="1"/>
  <c r="A15" i="8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8" i="19"/>
  <c r="A8" i="20" s="1"/>
  <c r="A9" i="21"/>
  <c r="C8" i="19"/>
  <c r="D8" i="19" s="1"/>
  <c r="C8" i="20"/>
  <c r="D8" i="20" s="1"/>
  <c r="D9" i="21"/>
  <c r="E9" i="21" s="1"/>
  <c r="D11" i="14"/>
  <c r="G13" i="1" s="1"/>
  <c r="K41" i="18"/>
  <c r="P40" i="18"/>
  <c r="O40" i="18"/>
  <c r="B12" i="1"/>
  <c r="D20" i="12"/>
  <c r="C26" i="1"/>
  <c r="A9" i="19" l="1"/>
  <c r="A9" i="20" s="1"/>
  <c r="A10" i="21"/>
  <c r="C9" i="20"/>
  <c r="D9" i="20" s="1"/>
  <c r="D10" i="21"/>
  <c r="E10" i="21" s="1"/>
  <c r="C9" i="19"/>
  <c r="D9" i="19" s="1"/>
  <c r="I10" i="1"/>
  <c r="D12" i="14"/>
  <c r="G14" i="1" s="1"/>
  <c r="K42" i="18"/>
  <c r="P41" i="18"/>
  <c r="O41" i="18"/>
  <c r="B13" i="1"/>
  <c r="D21" i="12"/>
  <c r="C27" i="1"/>
  <c r="A11" i="21" l="1"/>
  <c r="A10" i="19"/>
  <c r="A10" i="20" s="1"/>
  <c r="C10" i="19"/>
  <c r="D10" i="19" s="1"/>
  <c r="D11" i="21"/>
  <c r="E11" i="21" s="1"/>
  <c r="C10" i="20"/>
  <c r="D10" i="20" s="1"/>
  <c r="D13" i="14"/>
  <c r="G15" i="1" s="1"/>
  <c r="K43" i="18"/>
  <c r="P42" i="18"/>
  <c r="O42" i="18"/>
  <c r="B14" i="1"/>
  <c r="I11" i="1"/>
  <c r="N10" i="1"/>
  <c r="J10" i="1"/>
  <c r="K10" i="1" s="1"/>
  <c r="D22" i="12"/>
  <c r="C28" i="1"/>
  <c r="A11" i="19" l="1"/>
  <c r="A11" i="20" s="1"/>
  <c r="A12" i="21"/>
  <c r="C11" i="19"/>
  <c r="D11" i="19" s="1"/>
  <c r="C11" i="20"/>
  <c r="D11" i="20" s="1"/>
  <c r="D12" i="21"/>
  <c r="E12" i="21" s="1"/>
  <c r="J11" i="1"/>
  <c r="K11" i="1" s="1"/>
  <c r="N11" i="1"/>
  <c r="D14" i="14"/>
  <c r="G16" i="1" s="1"/>
  <c r="K44" i="18"/>
  <c r="P43" i="18"/>
  <c r="O43" i="18"/>
  <c r="B15" i="1"/>
  <c r="D23" i="12"/>
  <c r="C29" i="1"/>
  <c r="A12" i="19" l="1"/>
  <c r="A12" i="20" s="1"/>
  <c r="A13" i="21"/>
  <c r="C12" i="19"/>
  <c r="D12" i="19" s="1"/>
  <c r="C12" i="20"/>
  <c r="D12" i="20" s="1"/>
  <c r="D13" i="21"/>
  <c r="E13" i="21" s="1"/>
  <c r="I13" i="1"/>
  <c r="D15" i="14"/>
  <c r="G17" i="1" s="1"/>
  <c r="K45" i="18"/>
  <c r="P44" i="18"/>
  <c r="O44" i="18"/>
  <c r="B16" i="1"/>
  <c r="I12" i="1"/>
  <c r="J12" i="1" s="1"/>
  <c r="K12" i="1" s="1"/>
  <c r="D24" i="12"/>
  <c r="C13" i="20" l="1"/>
  <c r="D13" i="20" s="1"/>
  <c r="A13" i="19"/>
  <c r="A13" i="20" s="1"/>
  <c r="A14" i="21"/>
  <c r="C13" i="19"/>
  <c r="D13" i="19" s="1"/>
  <c r="D14" i="21"/>
  <c r="E14" i="21" s="1"/>
  <c r="J13" i="1"/>
  <c r="K13" i="1" s="1"/>
  <c r="N13" i="1"/>
  <c r="I14" i="1"/>
  <c r="N14" i="1" s="1"/>
  <c r="D16" i="14"/>
  <c r="G18" i="1" s="1"/>
  <c r="K46" i="18"/>
  <c r="P45" i="18"/>
  <c r="O45" i="18"/>
  <c r="B17" i="1"/>
  <c r="N12" i="1"/>
  <c r="D25" i="12"/>
  <c r="D17" i="14" l="1"/>
  <c r="G19" i="1" s="1"/>
  <c r="A15" i="21"/>
  <c r="A14" i="19"/>
  <c r="A14" i="20" s="1"/>
  <c r="D15" i="21"/>
  <c r="E15" i="21" s="1"/>
  <c r="C14" i="20"/>
  <c r="D14" i="20" s="1"/>
  <c r="C14" i="19"/>
  <c r="D14" i="19" s="1"/>
  <c r="J14" i="1"/>
  <c r="K14" i="1" s="1"/>
  <c r="K47" i="18"/>
  <c r="P46" i="18"/>
  <c r="O46" i="18"/>
  <c r="B18" i="1"/>
  <c r="D26" i="12"/>
  <c r="D18" i="14" l="1"/>
  <c r="G20" i="1" s="1"/>
  <c r="A15" i="19"/>
  <c r="A15" i="20" s="1"/>
  <c r="A16" i="21"/>
  <c r="D16" i="21"/>
  <c r="E16" i="21" s="1"/>
  <c r="C15" i="19"/>
  <c r="D15" i="19" s="1"/>
  <c r="C15" i="20"/>
  <c r="D15" i="20" s="1"/>
  <c r="I16" i="1"/>
  <c r="K48" i="18"/>
  <c r="P47" i="18"/>
  <c r="O47" i="18"/>
  <c r="B19" i="1"/>
  <c r="I15" i="1"/>
  <c r="J15" i="1" s="1"/>
  <c r="K15" i="1" s="1"/>
  <c r="D27" i="12"/>
  <c r="D19" i="14"/>
  <c r="G21" i="1" s="1"/>
  <c r="A17" i="21" l="1"/>
  <c r="A16" i="19"/>
  <c r="A16" i="20" s="1"/>
  <c r="C16" i="19"/>
  <c r="D16" i="19" s="1"/>
  <c r="D17" i="21"/>
  <c r="E17" i="21" s="1"/>
  <c r="C16" i="20"/>
  <c r="D16" i="20" s="1"/>
  <c r="K49" i="18"/>
  <c r="P48" i="18"/>
  <c r="O48" i="18"/>
  <c r="B20" i="1"/>
  <c r="N15" i="1"/>
  <c r="D28" i="12"/>
  <c r="J16" i="1"/>
  <c r="K16" i="1" s="1"/>
  <c r="N16" i="1"/>
  <c r="I17" i="1"/>
  <c r="D20" i="14"/>
  <c r="G22" i="1" s="1"/>
  <c r="C17" i="20" l="1"/>
  <c r="D17" i="20" s="1"/>
  <c r="A18" i="21"/>
  <c r="A17" i="19"/>
  <c r="A17" i="20" s="1"/>
  <c r="C17" i="19"/>
  <c r="D17" i="19" s="1"/>
  <c r="D18" i="21"/>
  <c r="E18" i="21" s="1"/>
  <c r="K50" i="18"/>
  <c r="P49" i="18"/>
  <c r="O49" i="18"/>
  <c r="B21" i="1"/>
  <c r="D29" i="12"/>
  <c r="J17" i="1"/>
  <c r="K17" i="1" s="1"/>
  <c r="N17" i="1"/>
  <c r="I18" i="1"/>
  <c r="D21" i="14"/>
  <c r="G23" i="1" s="1"/>
  <c r="A18" i="19" l="1"/>
  <c r="A18" i="20" s="1"/>
  <c r="A19" i="21"/>
  <c r="C18" i="19"/>
  <c r="D18" i="19" s="1"/>
  <c r="D19" i="21"/>
  <c r="E19" i="21" s="1"/>
  <c r="C18" i="20"/>
  <c r="D18" i="20" s="1"/>
  <c r="I19" i="1"/>
  <c r="K51" i="18"/>
  <c r="P50" i="18"/>
  <c r="O50" i="18"/>
  <c r="B22" i="1"/>
  <c r="D30" i="12"/>
  <c r="J18" i="1"/>
  <c r="K18" i="1" s="1"/>
  <c r="N18" i="1"/>
  <c r="D22" i="14"/>
  <c r="G24" i="1" s="1"/>
  <c r="A19" i="19" l="1"/>
  <c r="A19" i="20" s="1"/>
  <c r="A20" i="21"/>
  <c r="C19" i="20"/>
  <c r="D19" i="20" s="1"/>
  <c r="D20" i="21"/>
  <c r="E20" i="21" s="1"/>
  <c r="C19" i="19"/>
  <c r="D19" i="19" s="1"/>
  <c r="J19" i="1"/>
  <c r="K19" i="1" s="1"/>
  <c r="N19" i="1"/>
  <c r="I20" i="1"/>
  <c r="K52" i="18"/>
  <c r="P51" i="18"/>
  <c r="O51" i="18"/>
  <c r="B23" i="1"/>
  <c r="D31" i="12"/>
  <c r="D23" i="14"/>
  <c r="G25" i="1" s="1"/>
  <c r="A21" i="21" l="1"/>
  <c r="A20" i="19"/>
  <c r="A20" i="20" s="1"/>
  <c r="D21" i="21"/>
  <c r="E21" i="21" s="1"/>
  <c r="C20" i="19"/>
  <c r="D20" i="19" s="1"/>
  <c r="C20" i="20"/>
  <c r="D20" i="20" s="1"/>
  <c r="I21" i="1"/>
  <c r="J21" i="1" s="1"/>
  <c r="K53" i="18"/>
  <c r="P52" i="18"/>
  <c r="O52" i="18"/>
  <c r="B24" i="1"/>
  <c r="D32" i="12"/>
  <c r="J20" i="1"/>
  <c r="K20" i="1" s="1"/>
  <c r="N20" i="1"/>
  <c r="D24" i="14"/>
  <c r="G26" i="1" s="1"/>
  <c r="A21" i="19" l="1"/>
  <c r="A21" i="20" s="1"/>
  <c r="C21" i="20"/>
  <c r="D21" i="20" s="1"/>
  <c r="A22" i="21"/>
  <c r="C21" i="19"/>
  <c r="D21" i="19" s="1"/>
  <c r="D22" i="21"/>
  <c r="E22" i="21" s="1"/>
  <c r="N21" i="1"/>
  <c r="K54" i="18"/>
  <c r="P53" i="18"/>
  <c r="O53" i="18"/>
  <c r="B25" i="1"/>
  <c r="D33" i="12"/>
  <c r="K21" i="1"/>
  <c r="I22" i="1"/>
  <c r="D25" i="14"/>
  <c r="G27" i="1" s="1"/>
  <c r="A23" i="21" l="1"/>
  <c r="A22" i="19"/>
  <c r="A22" i="20" s="1"/>
  <c r="C22" i="20"/>
  <c r="D22" i="20" s="1"/>
  <c r="D23" i="21"/>
  <c r="E23" i="21" s="1"/>
  <c r="C22" i="19"/>
  <c r="D22" i="19" s="1"/>
  <c r="K55" i="18"/>
  <c r="P54" i="18"/>
  <c r="O54" i="18"/>
  <c r="B26" i="1"/>
  <c r="D34" i="12"/>
  <c r="J22" i="1"/>
  <c r="K22" i="1" s="1"/>
  <c r="N22" i="1"/>
  <c r="I23" i="1"/>
  <c r="D26" i="14"/>
  <c r="A24" i="21" l="1"/>
  <c r="A23" i="19"/>
  <c r="A23" i="20" s="1"/>
  <c r="C23" i="20"/>
  <c r="D23" i="20" s="1"/>
  <c r="D24" i="21"/>
  <c r="E24" i="21" s="1"/>
  <c r="C23" i="19"/>
  <c r="D23" i="19" s="1"/>
  <c r="G28" i="1"/>
  <c r="D27" i="14"/>
  <c r="G29" i="1" s="1"/>
  <c r="I24" i="1"/>
  <c r="K56" i="18"/>
  <c r="P55" i="18"/>
  <c r="O55" i="18"/>
  <c r="B27" i="1"/>
  <c r="D35" i="12"/>
  <c r="J23" i="1"/>
  <c r="K23" i="1" s="1"/>
  <c r="N23" i="1"/>
  <c r="A24" i="19" l="1"/>
  <c r="A24" i="20" s="1"/>
  <c r="A25" i="21"/>
  <c r="D25" i="21"/>
  <c r="E25" i="21" s="1"/>
  <c r="C24" i="20"/>
  <c r="D24" i="20" s="1"/>
  <c r="C24" i="19"/>
  <c r="D24" i="19" s="1"/>
  <c r="K57" i="18"/>
  <c r="P56" i="18"/>
  <c r="O56" i="18"/>
  <c r="B28" i="1"/>
  <c r="D36" i="12"/>
  <c r="I25" i="1"/>
  <c r="J24" i="1"/>
  <c r="K24" i="1" s="1"/>
  <c r="N24" i="1"/>
  <c r="A26" i="21" l="1"/>
  <c r="A25" i="19"/>
  <c r="A25" i="20" s="1"/>
  <c r="C25" i="20"/>
  <c r="D25" i="20" s="1"/>
  <c r="C25" i="19"/>
  <c r="D25" i="19" s="1"/>
  <c r="D26" i="21"/>
  <c r="E26" i="21" s="1"/>
  <c r="K58" i="18"/>
  <c r="P57" i="18"/>
  <c r="O57" i="18"/>
  <c r="B29" i="1"/>
  <c r="D37" i="12"/>
  <c r="J25" i="1"/>
  <c r="K25" i="1" s="1"/>
  <c r="N25" i="1"/>
  <c r="I26" i="1"/>
  <c r="A27" i="21" l="1"/>
  <c r="A26" i="19"/>
  <c r="A26" i="20" s="1"/>
  <c r="C26" i="20"/>
  <c r="D26" i="20" s="1"/>
  <c r="C26" i="19"/>
  <c r="D26" i="19" s="1"/>
  <c r="D27" i="21"/>
  <c r="E27" i="21" s="1"/>
  <c r="K59" i="18"/>
  <c r="P58" i="18"/>
  <c r="O58" i="18"/>
  <c r="D38" i="12"/>
  <c r="J26" i="1"/>
  <c r="K26" i="1" s="1"/>
  <c r="N26" i="1"/>
  <c r="I27" i="1"/>
  <c r="F8" i="19" l="1"/>
  <c r="G9" i="21"/>
  <c r="E28" i="21"/>
  <c r="E29" i="21" s="1"/>
  <c r="E30" i="21" s="1"/>
  <c r="E31" i="21" s="1"/>
  <c r="E32" i="21" s="1"/>
  <c r="E33" i="21" s="1"/>
  <c r="E34" i="21" s="1"/>
  <c r="E35" i="21" s="1"/>
  <c r="E36" i="21" s="1"/>
  <c r="E37" i="21" s="1"/>
  <c r="E38" i="21" s="1"/>
  <c r="E39" i="21" s="1"/>
  <c r="E40" i="21" s="1"/>
  <c r="E41" i="21" s="1"/>
  <c r="E42" i="21" s="1"/>
  <c r="E43" i="21" s="1"/>
  <c r="E44" i="21" s="1"/>
  <c r="E45" i="21" s="1"/>
  <c r="E46" i="21" s="1"/>
  <c r="E47" i="21" s="1"/>
  <c r="E48" i="21" s="1"/>
  <c r="E49" i="21" s="1"/>
  <c r="E50" i="21" s="1"/>
  <c r="E51" i="21" s="1"/>
  <c r="E52" i="21" s="1"/>
  <c r="E53" i="21" s="1"/>
  <c r="E54" i="21" s="1"/>
  <c r="E55" i="21" s="1"/>
  <c r="E56" i="21" s="1"/>
  <c r="E57" i="21" s="1"/>
  <c r="E58" i="21" s="1"/>
  <c r="E59" i="21" s="1"/>
  <c r="E60" i="21" s="1"/>
  <c r="E61" i="21" s="1"/>
  <c r="E62" i="21" s="1"/>
  <c r="E63" i="21" s="1"/>
  <c r="E64" i="21" s="1"/>
  <c r="E65" i="21" s="1"/>
  <c r="E66" i="21" s="1"/>
  <c r="E67" i="21" s="1"/>
  <c r="E68" i="21" s="1"/>
  <c r="E69" i="21" s="1"/>
  <c r="E70" i="21" s="1"/>
  <c r="E71" i="21" s="1"/>
  <c r="E72" i="21" s="1"/>
  <c r="E73" i="21" s="1"/>
  <c r="E74" i="21" s="1"/>
  <c r="E75" i="21" s="1"/>
  <c r="E76" i="21" s="1"/>
  <c r="E77" i="21" s="1"/>
  <c r="E78" i="21" s="1"/>
  <c r="E79" i="21" s="1"/>
  <c r="E80" i="21" s="1"/>
  <c r="E81" i="21" s="1"/>
  <c r="E82" i="21" s="1"/>
  <c r="E83" i="21" s="1"/>
  <c r="E84" i="21" s="1"/>
  <c r="E85" i="21" s="1"/>
  <c r="E86" i="21" s="1"/>
  <c r="E87" i="21" s="1"/>
  <c r="E88" i="21" s="1"/>
  <c r="F8" i="20"/>
  <c r="D27" i="20"/>
  <c r="D28" i="20" s="1"/>
  <c r="D29" i="20" s="1"/>
  <c r="D30" i="20" s="1"/>
  <c r="D31" i="20" s="1"/>
  <c r="D32" i="20" s="1"/>
  <c r="D33" i="20" s="1"/>
  <c r="D34" i="20" s="1"/>
  <c r="D35" i="20" s="1"/>
  <c r="D36" i="20" s="1"/>
  <c r="D37" i="20" s="1"/>
  <c r="D38" i="20" s="1"/>
  <c r="D39" i="20" s="1"/>
  <c r="D40" i="20" s="1"/>
  <c r="D41" i="20" s="1"/>
  <c r="D42" i="20" s="1"/>
  <c r="D43" i="20" s="1"/>
  <c r="D44" i="20" s="1"/>
  <c r="D45" i="20" s="1"/>
  <c r="D46" i="20" s="1"/>
  <c r="D47" i="20" s="1"/>
  <c r="D48" i="20" s="1"/>
  <c r="D49" i="20" s="1"/>
  <c r="D50" i="20" s="1"/>
  <c r="D51" i="20" s="1"/>
  <c r="D52" i="20" s="1"/>
  <c r="D53" i="20" s="1"/>
  <c r="D54" i="20" s="1"/>
  <c r="D55" i="20" s="1"/>
  <c r="D56" i="20" s="1"/>
  <c r="D57" i="20" s="1"/>
  <c r="D58" i="20" s="1"/>
  <c r="D59" i="20" s="1"/>
  <c r="D60" i="20" s="1"/>
  <c r="D61" i="20" s="1"/>
  <c r="D62" i="20" s="1"/>
  <c r="D63" i="20" s="1"/>
  <c r="D64" i="20" s="1"/>
  <c r="D65" i="20" s="1"/>
  <c r="D66" i="20" s="1"/>
  <c r="D67" i="20" s="1"/>
  <c r="D68" i="20" s="1"/>
  <c r="D69" i="20" s="1"/>
  <c r="D70" i="20" s="1"/>
  <c r="D71" i="20" s="1"/>
  <c r="D72" i="20" s="1"/>
  <c r="D73" i="20" s="1"/>
  <c r="D74" i="20" s="1"/>
  <c r="D75" i="20" s="1"/>
  <c r="D76" i="20" s="1"/>
  <c r="D77" i="20" s="1"/>
  <c r="D78" i="20" s="1"/>
  <c r="D79" i="20" s="1"/>
  <c r="D80" i="20" s="1"/>
  <c r="D81" i="20" s="1"/>
  <c r="D82" i="20" s="1"/>
  <c r="D83" i="20" s="1"/>
  <c r="D84" i="20" s="1"/>
  <c r="D85" i="20" s="1"/>
  <c r="D86" i="20" s="1"/>
  <c r="D87" i="20" s="1"/>
  <c r="I28" i="1"/>
  <c r="K60" i="18"/>
  <c r="P59" i="18"/>
  <c r="O59" i="18"/>
  <c r="D39" i="12"/>
  <c r="J27" i="1"/>
  <c r="K27" i="1" s="1"/>
  <c r="N27" i="1"/>
  <c r="I29" i="1" l="1"/>
  <c r="K61" i="18"/>
  <c r="P60" i="18"/>
  <c r="O60" i="18"/>
  <c r="D40" i="12"/>
  <c r="J28" i="1"/>
  <c r="K28" i="1" s="1"/>
  <c r="N28" i="1"/>
  <c r="K62" i="18" l="1"/>
  <c r="P61" i="18"/>
  <c r="O61" i="18"/>
  <c r="D41" i="12"/>
  <c r="J29" i="1"/>
  <c r="K29" i="1" s="1"/>
  <c r="K30" i="1" s="1"/>
  <c r="N29" i="1"/>
  <c r="K31" i="1" l="1"/>
  <c r="M30" i="1"/>
  <c r="K63" i="18"/>
  <c r="P62" i="18"/>
  <c r="O62" i="18"/>
  <c r="D42" i="12"/>
  <c r="K32" i="1" l="1"/>
  <c r="M31" i="1"/>
  <c r="K64" i="18"/>
  <c r="P63" i="18"/>
  <c r="O63" i="18"/>
  <c r="D43" i="12"/>
  <c r="K33" i="1" l="1"/>
  <c r="M32" i="1"/>
  <c r="K65" i="18"/>
  <c r="P64" i="18"/>
  <c r="O64" i="18"/>
  <c r="D44" i="12"/>
  <c r="K34" i="1" l="1"/>
  <c r="M33" i="1"/>
  <c r="K66" i="18"/>
  <c r="P65" i="18"/>
  <c r="O65" i="18"/>
  <c r="D45" i="12"/>
  <c r="K35" i="1" l="1"/>
  <c r="M34" i="1"/>
  <c r="K67" i="18"/>
  <c r="P66" i="18"/>
  <c r="O66" i="18"/>
  <c r="D46" i="12"/>
  <c r="K36" i="1" l="1"/>
  <c r="M35" i="1"/>
  <c r="K68" i="18"/>
  <c r="P67" i="18"/>
  <c r="O67" i="18"/>
  <c r="D47" i="12"/>
  <c r="K37" i="1" l="1"/>
  <c r="M36" i="1"/>
  <c r="K69" i="18"/>
  <c r="P68" i="18"/>
  <c r="O68" i="18"/>
  <c r="D48" i="12"/>
  <c r="K38" i="1" l="1"/>
  <c r="M37" i="1"/>
  <c r="K70" i="18"/>
  <c r="P69" i="18"/>
  <c r="O69" i="18"/>
  <c r="D49" i="12"/>
  <c r="K39" i="1" l="1"/>
  <c r="M38" i="1"/>
  <c r="K71" i="18"/>
  <c r="P70" i="18"/>
  <c r="O70" i="18"/>
  <c r="D50" i="12"/>
  <c r="K40" i="1" l="1"/>
  <c r="M39" i="1"/>
  <c r="K72" i="18"/>
  <c r="P71" i="18"/>
  <c r="O71" i="18"/>
  <c r="D51" i="12"/>
  <c r="K41" i="1" l="1"/>
  <c r="M40" i="1"/>
  <c r="K73" i="18"/>
  <c r="P72" i="18"/>
  <c r="O72" i="18"/>
  <c r="D52" i="12"/>
  <c r="K42" i="1" l="1"/>
  <c r="M41" i="1"/>
  <c r="K74" i="18"/>
  <c r="P73" i="18"/>
  <c r="O73" i="18"/>
  <c r="D53" i="12"/>
  <c r="K43" i="1" l="1"/>
  <c r="M42" i="1"/>
  <c r="K75" i="18"/>
  <c r="P74" i="18"/>
  <c r="O74" i="18"/>
  <c r="D54" i="12"/>
  <c r="K44" i="1" l="1"/>
  <c r="M43" i="1"/>
  <c r="K76" i="18"/>
  <c r="P75" i="18"/>
  <c r="O75" i="18"/>
  <c r="D55" i="12"/>
  <c r="K45" i="1" l="1"/>
  <c r="M44" i="1"/>
  <c r="K77" i="18"/>
  <c r="P76" i="18"/>
  <c r="O76" i="18"/>
  <c r="D56" i="12"/>
  <c r="K46" i="1" l="1"/>
  <c r="M45" i="1"/>
  <c r="K78" i="18"/>
  <c r="P77" i="18"/>
  <c r="O77" i="18"/>
  <c r="D57" i="12"/>
  <c r="K47" i="1" l="1"/>
  <c r="M46" i="1"/>
  <c r="K79" i="18"/>
  <c r="P78" i="18"/>
  <c r="O78" i="18"/>
  <c r="D58" i="12"/>
  <c r="K48" i="1" l="1"/>
  <c r="M47" i="1"/>
  <c r="K80" i="18"/>
  <c r="P79" i="18"/>
  <c r="O79" i="18"/>
  <c r="D59" i="12"/>
  <c r="K49" i="1" l="1"/>
  <c r="M48" i="1"/>
  <c r="K81" i="18"/>
  <c r="P80" i="18"/>
  <c r="O80" i="18"/>
  <c r="D60" i="12"/>
  <c r="K50" i="1" l="1"/>
  <c r="M49" i="1"/>
  <c r="K82" i="18"/>
  <c r="P81" i="18"/>
  <c r="O81" i="18"/>
  <c r="D61" i="12"/>
  <c r="K51" i="1" l="1"/>
  <c r="M50" i="1"/>
  <c r="K83" i="18"/>
  <c r="P82" i="18"/>
  <c r="O82" i="18"/>
  <c r="D62" i="12"/>
  <c r="K52" i="1" l="1"/>
  <c r="M51" i="1"/>
  <c r="K84" i="18"/>
  <c r="P83" i="18"/>
  <c r="O83" i="18"/>
  <c r="D63" i="12"/>
  <c r="K53" i="1" l="1"/>
  <c r="M52" i="1"/>
  <c r="K85" i="18"/>
  <c r="P84" i="18"/>
  <c r="O84" i="18"/>
  <c r="D64" i="12"/>
  <c r="K54" i="1" l="1"/>
  <c r="M53" i="1"/>
  <c r="K86" i="18"/>
  <c r="P85" i="18"/>
  <c r="O85" i="18"/>
  <c r="D65" i="12"/>
  <c r="K55" i="1" l="1"/>
  <c r="M54" i="1"/>
  <c r="K87" i="18"/>
  <c r="P86" i="18"/>
  <c r="O86" i="18"/>
  <c r="D66" i="12"/>
  <c r="K56" i="1" l="1"/>
  <c r="M55" i="1"/>
  <c r="K88" i="18"/>
  <c r="P87" i="18"/>
  <c r="O87" i="18"/>
  <c r="D67" i="12"/>
  <c r="K57" i="1" l="1"/>
  <c r="M56" i="1"/>
  <c r="K89" i="18"/>
  <c r="P88" i="18"/>
  <c r="O88" i="18"/>
  <c r="D68" i="12"/>
  <c r="K58" i="1" l="1"/>
  <c r="M57" i="1"/>
  <c r="F9" i="20"/>
  <c r="F10" i="20" s="1"/>
  <c r="F11" i="20" s="1"/>
  <c r="F12" i="20" s="1"/>
  <c r="F13" i="20" s="1"/>
  <c r="F14" i="20" s="1"/>
  <c r="F15" i="20" s="1"/>
  <c r="F16" i="20" s="1"/>
  <c r="F17" i="20" s="1"/>
  <c r="F18" i="20" s="1"/>
  <c r="F19" i="20" s="1"/>
  <c r="F20" i="20" s="1"/>
  <c r="F21" i="20" s="1"/>
  <c r="F22" i="20" s="1"/>
  <c r="F23" i="20" s="1"/>
  <c r="F24" i="20" s="1"/>
  <c r="F25" i="20" s="1"/>
  <c r="F26" i="20" s="1"/>
  <c r="F27" i="20" s="1"/>
  <c r="F28" i="20" s="1"/>
  <c r="F29" i="20" s="1"/>
  <c r="F30" i="20" s="1"/>
  <c r="F31" i="20" s="1"/>
  <c r="F32" i="20" s="1"/>
  <c r="F33" i="20" s="1"/>
  <c r="F34" i="20" s="1"/>
  <c r="F35" i="20" s="1"/>
  <c r="F36" i="20" s="1"/>
  <c r="F37" i="20" s="1"/>
  <c r="F38" i="20" s="1"/>
  <c r="F39" i="20" s="1"/>
  <c r="F40" i="20" s="1"/>
  <c r="F41" i="20" s="1"/>
  <c r="F42" i="20" s="1"/>
  <c r="F43" i="20" s="1"/>
  <c r="F44" i="20" s="1"/>
  <c r="F45" i="20" s="1"/>
  <c r="F46" i="20" s="1"/>
  <c r="F47" i="20" s="1"/>
  <c r="F48" i="20" s="1"/>
  <c r="F49" i="20" s="1"/>
  <c r="F50" i="20" s="1"/>
  <c r="F51" i="20" s="1"/>
  <c r="F52" i="20" s="1"/>
  <c r="F53" i="20" s="1"/>
  <c r="F54" i="20" s="1"/>
  <c r="F55" i="20" s="1"/>
  <c r="F56" i="20" s="1"/>
  <c r="F57" i="20" s="1"/>
  <c r="F58" i="20" s="1"/>
  <c r="F59" i="20" s="1"/>
  <c r="F60" i="20" s="1"/>
  <c r="F61" i="20" s="1"/>
  <c r="F62" i="20" s="1"/>
  <c r="F63" i="20" s="1"/>
  <c r="F64" i="20" s="1"/>
  <c r="F65" i="20" s="1"/>
  <c r="F66" i="20" s="1"/>
  <c r="F67" i="20" s="1"/>
  <c r="F68" i="20" s="1"/>
  <c r="F69" i="20" s="1"/>
  <c r="F70" i="20" s="1"/>
  <c r="F71" i="20" s="1"/>
  <c r="F72" i="20" s="1"/>
  <c r="F73" i="20" s="1"/>
  <c r="F74" i="20" s="1"/>
  <c r="F75" i="20" s="1"/>
  <c r="F76" i="20" s="1"/>
  <c r="F77" i="20" s="1"/>
  <c r="F78" i="20" s="1"/>
  <c r="F79" i="20" s="1"/>
  <c r="F80" i="20" s="1"/>
  <c r="F81" i="20" s="1"/>
  <c r="F82" i="20" s="1"/>
  <c r="F83" i="20" s="1"/>
  <c r="F84" i="20" s="1"/>
  <c r="F85" i="20" s="1"/>
  <c r="F86" i="20" s="1"/>
  <c r="F87" i="20" s="1"/>
  <c r="G10" i="21"/>
  <c r="G11" i="21" s="1"/>
  <c r="G12" i="21" s="1"/>
  <c r="G13" i="21" s="1"/>
  <c r="G14" i="21" s="1"/>
  <c r="G15" i="21" s="1"/>
  <c r="G16" i="21" s="1"/>
  <c r="G17" i="21" s="1"/>
  <c r="G18" i="21" s="1"/>
  <c r="G19" i="21" s="1"/>
  <c r="G20" i="21" s="1"/>
  <c r="G21" i="21" s="1"/>
  <c r="G22" i="21" s="1"/>
  <c r="G23" i="21" s="1"/>
  <c r="G24" i="21" s="1"/>
  <c r="G25" i="21" s="1"/>
  <c r="G26" i="21" s="1"/>
  <c r="G27" i="21" s="1"/>
  <c r="G28" i="21" s="1"/>
  <c r="G29" i="21" s="1"/>
  <c r="G30" i="21" s="1"/>
  <c r="G31" i="21" s="1"/>
  <c r="G32" i="21" s="1"/>
  <c r="G33" i="21" s="1"/>
  <c r="G34" i="21" s="1"/>
  <c r="G35" i="21" s="1"/>
  <c r="G36" i="21" s="1"/>
  <c r="G37" i="21" s="1"/>
  <c r="G38" i="21" s="1"/>
  <c r="G39" i="21" s="1"/>
  <c r="G40" i="21" s="1"/>
  <c r="G41" i="21" s="1"/>
  <c r="G42" i="21" s="1"/>
  <c r="G43" i="21" s="1"/>
  <c r="G44" i="21" s="1"/>
  <c r="G45" i="21" s="1"/>
  <c r="G46" i="21" s="1"/>
  <c r="G47" i="21" s="1"/>
  <c r="G48" i="21" s="1"/>
  <c r="G49" i="21" s="1"/>
  <c r="G50" i="21" s="1"/>
  <c r="G51" i="21" s="1"/>
  <c r="G52" i="21" s="1"/>
  <c r="G53" i="21" s="1"/>
  <c r="G54" i="21" s="1"/>
  <c r="G55" i="21" s="1"/>
  <c r="G56" i="21" s="1"/>
  <c r="G57" i="21" s="1"/>
  <c r="G58" i="21" s="1"/>
  <c r="G59" i="21" s="1"/>
  <c r="G60" i="21" s="1"/>
  <c r="G61" i="21" s="1"/>
  <c r="G62" i="21" s="1"/>
  <c r="G63" i="21" s="1"/>
  <c r="G64" i="21" s="1"/>
  <c r="G65" i="21" s="1"/>
  <c r="G66" i="21" s="1"/>
  <c r="G67" i="21" s="1"/>
  <c r="G68" i="21" s="1"/>
  <c r="G69" i="21" s="1"/>
  <c r="G70" i="21" s="1"/>
  <c r="G71" i="21" s="1"/>
  <c r="G72" i="21" s="1"/>
  <c r="G73" i="21" s="1"/>
  <c r="G74" i="21" s="1"/>
  <c r="G75" i="21" s="1"/>
  <c r="G76" i="21" s="1"/>
  <c r="G77" i="21" s="1"/>
  <c r="G78" i="21" s="1"/>
  <c r="G79" i="21" s="1"/>
  <c r="G80" i="21" s="1"/>
  <c r="G81" i="21" s="1"/>
  <c r="G82" i="21" s="1"/>
  <c r="G83" i="21" s="1"/>
  <c r="G84" i="21" s="1"/>
  <c r="G85" i="21" s="1"/>
  <c r="G86" i="21" s="1"/>
  <c r="G87" i="21" s="1"/>
  <c r="G88" i="21" s="1"/>
  <c r="K90" i="18"/>
  <c r="P89" i="18"/>
  <c r="O89" i="18"/>
  <c r="D69" i="12"/>
  <c r="K59" i="1" l="1"/>
  <c r="M58" i="1"/>
  <c r="F9" i="19"/>
  <c r="F10" i="19" s="1"/>
  <c r="F11" i="19" s="1"/>
  <c r="F12" i="19" s="1"/>
  <c r="F13" i="19" s="1"/>
  <c r="F14" i="19" s="1"/>
  <c r="F15" i="19" s="1"/>
  <c r="F16" i="19" s="1"/>
  <c r="F17" i="19" s="1"/>
  <c r="F18" i="19" s="1"/>
  <c r="F19" i="19" s="1"/>
  <c r="F20" i="19" s="1"/>
  <c r="F21" i="19" s="1"/>
  <c r="F22" i="19" s="1"/>
  <c r="F23" i="19" s="1"/>
  <c r="F24" i="19" s="1"/>
  <c r="F25" i="19" s="1"/>
  <c r="F26" i="19" s="1"/>
  <c r="P90" i="18"/>
  <c r="O90" i="18"/>
  <c r="D70" i="12"/>
  <c r="K60" i="1" l="1"/>
  <c r="M59" i="1"/>
  <c r="D71" i="12"/>
  <c r="K61" i="1" l="1"/>
  <c r="M60" i="1"/>
  <c r="D72" i="12"/>
  <c r="K62" i="1" l="1"/>
  <c r="M61" i="1"/>
  <c r="D73" i="12"/>
  <c r="K63" i="1" l="1"/>
  <c r="M62" i="1"/>
  <c r="D74" i="12"/>
  <c r="K64" i="1" l="1"/>
  <c r="M63" i="1"/>
  <c r="D75" i="12"/>
  <c r="K65" i="1" l="1"/>
  <c r="M64" i="1"/>
  <c r="D76" i="12"/>
  <c r="K66" i="1" l="1"/>
  <c r="M65" i="1"/>
  <c r="D77" i="12"/>
  <c r="K67" i="1" l="1"/>
  <c r="M66" i="1"/>
  <c r="D78" i="12"/>
  <c r="K68" i="1" l="1"/>
  <c r="M67" i="1"/>
  <c r="D79" i="12"/>
  <c r="K69" i="1" l="1"/>
  <c r="M68" i="1"/>
  <c r="D80" i="12"/>
  <c r="K70" i="1" l="1"/>
  <c r="M69" i="1"/>
  <c r="D81" i="12"/>
  <c r="K71" i="1" l="1"/>
  <c r="M70" i="1"/>
  <c r="D82" i="12"/>
  <c r="K72" i="1" l="1"/>
  <c r="M71" i="1"/>
  <c r="D83" i="12"/>
  <c r="K73" i="1" l="1"/>
  <c r="M72" i="1"/>
  <c r="D84" i="12"/>
  <c r="K74" i="1" l="1"/>
  <c r="M73" i="1"/>
  <c r="L12" i="1"/>
  <c r="M12" i="1" s="1"/>
  <c r="M10" i="1"/>
  <c r="L13" i="1"/>
  <c r="M13" i="1" s="1"/>
  <c r="L14" i="1"/>
  <c r="M14" i="1" s="1"/>
  <c r="L11" i="1"/>
  <c r="M11" i="1" s="1"/>
  <c r="L15" i="1"/>
  <c r="M15" i="1" s="1"/>
  <c r="L16" i="1"/>
  <c r="M16" i="1" s="1"/>
  <c r="L18" i="1"/>
  <c r="M18" i="1" s="1"/>
  <c r="L17" i="1"/>
  <c r="M17" i="1" s="1"/>
  <c r="L20" i="1"/>
  <c r="M20" i="1" s="1"/>
  <c r="L19" i="1"/>
  <c r="M19" i="1" s="1"/>
  <c r="L21" i="1"/>
  <c r="M21" i="1" s="1"/>
  <c r="L22" i="1"/>
  <c r="M22" i="1" s="1"/>
  <c r="L23" i="1"/>
  <c r="M23" i="1" s="1"/>
  <c r="L24" i="1"/>
  <c r="M24" i="1" s="1"/>
  <c r="L26" i="1"/>
  <c r="M26" i="1" s="1"/>
  <c r="L25" i="1"/>
  <c r="M25" i="1" s="1"/>
  <c r="L27" i="1"/>
  <c r="M27" i="1" s="1"/>
  <c r="L28" i="1"/>
  <c r="M28" i="1" s="1"/>
  <c r="L29" i="1"/>
  <c r="M29" i="1" s="1"/>
  <c r="O11" i="1" s="1"/>
  <c r="K75" i="1" l="1"/>
  <c r="M74" i="1"/>
  <c r="O12" i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O48" i="1" s="1"/>
  <c r="O49" i="1" s="1"/>
  <c r="O50" i="1" s="1"/>
  <c r="O51" i="1" s="1"/>
  <c r="O52" i="1" s="1"/>
  <c r="O53" i="1" s="1"/>
  <c r="O54" i="1" s="1"/>
  <c r="O55" i="1" s="1"/>
  <c r="O56" i="1" s="1"/>
  <c r="O57" i="1" s="1"/>
  <c r="O58" i="1" s="1"/>
  <c r="O59" i="1" s="1"/>
  <c r="O60" i="1" s="1"/>
  <c r="O61" i="1" s="1"/>
  <c r="O62" i="1" s="1"/>
  <c r="O63" i="1" s="1"/>
  <c r="O64" i="1" s="1"/>
  <c r="O65" i="1" s="1"/>
  <c r="O66" i="1" s="1"/>
  <c r="O67" i="1" s="1"/>
  <c r="O68" i="1" s="1"/>
  <c r="O69" i="1" s="1"/>
  <c r="O70" i="1" s="1"/>
  <c r="O71" i="1" s="1"/>
  <c r="O72" i="1" s="1"/>
  <c r="O73" i="1" s="1"/>
  <c r="O74" i="1" s="1"/>
  <c r="O75" i="1" s="1"/>
  <c r="O76" i="1" s="1"/>
  <c r="O77" i="1" s="1"/>
  <c r="O78" i="1" s="1"/>
  <c r="O79" i="1" s="1"/>
  <c r="O80" i="1" s="1"/>
  <c r="O81" i="1" s="1"/>
  <c r="O82" i="1" s="1"/>
  <c r="O83" i="1" s="1"/>
  <c r="O84" i="1" s="1"/>
  <c r="O85" i="1" s="1"/>
  <c r="O86" i="1" s="1"/>
  <c r="O87" i="1" s="1"/>
  <c r="O88" i="1" s="1"/>
  <c r="O89" i="1" s="1"/>
  <c r="O90" i="1" s="1"/>
  <c r="K76" i="1" l="1"/>
  <c r="M75" i="1"/>
  <c r="K77" i="1" l="1"/>
  <c r="M76" i="1"/>
  <c r="K78" i="1" l="1"/>
  <c r="M77" i="1"/>
  <c r="K79" i="1" l="1"/>
  <c r="M78" i="1"/>
  <c r="K80" i="1" l="1"/>
  <c r="M79" i="1"/>
  <c r="K81" i="1" l="1"/>
  <c r="M80" i="1"/>
  <c r="K82" i="1" l="1"/>
  <c r="M81" i="1"/>
  <c r="K83" i="1" l="1"/>
  <c r="M82" i="1"/>
  <c r="K84" i="1" l="1"/>
  <c r="M83" i="1"/>
  <c r="K85" i="1" l="1"/>
  <c r="M84" i="1"/>
  <c r="K86" i="1" l="1"/>
  <c r="M85" i="1"/>
  <c r="K87" i="1" l="1"/>
  <c r="M86" i="1"/>
  <c r="K88" i="1" l="1"/>
  <c r="M87" i="1"/>
  <c r="K89" i="1" l="1"/>
  <c r="M88" i="1"/>
  <c r="K90" i="1" l="1"/>
  <c r="M90" i="1" s="1"/>
  <c r="M8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imagedummy</author>
    <author>supersetup</author>
  </authors>
  <commentList>
    <comment ref="E5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SEE NOTE 1</t>
        </r>
      </text>
    </comment>
    <comment ref="E6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SEE NOTE 1</t>
        </r>
      </text>
    </comment>
    <comment ref="E7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>SEE NOTE 1</t>
        </r>
      </text>
    </comment>
    <comment ref="E8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>See Note 1</t>
        </r>
      </text>
    </comment>
    <comment ref="E10" authorId="0" shapeId="0" xr:uid="{00000000-0006-0000-0200-000006000000}">
      <text>
        <r>
          <rPr>
            <b/>
            <sz val="8"/>
            <color indexed="81"/>
            <rFont val="Tahoma"/>
            <family val="2"/>
          </rPr>
          <t>SEE NOTE 1</t>
        </r>
      </text>
    </comment>
    <comment ref="C31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>supersetup:</t>
        </r>
        <r>
          <rPr>
            <sz val="9"/>
            <color indexed="81"/>
            <rFont val="Tahoma"/>
            <family val="2"/>
          </rPr>
          <t xml:space="preserve">
Does Not Include Taxes</t>
        </r>
      </text>
    </comment>
    <comment ref="F37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supersetup:</t>
        </r>
        <r>
          <rPr>
            <sz val="9"/>
            <color indexed="81"/>
            <rFont val="Tahoma"/>
            <family val="2"/>
          </rPr>
          <t xml:space="preserve">
Based on Normals</t>
        </r>
      </text>
    </comment>
    <comment ref="J38" authorId="1" shapeId="0" xr:uid="{3A7AEF40-AF77-4133-B35F-3B68B5E835B1}">
      <text>
        <r>
          <rPr>
            <b/>
            <sz val="9"/>
            <color indexed="81"/>
            <rFont val="Tahoma"/>
            <family val="2"/>
          </rPr>
          <t>supersetup:</t>
        </r>
        <r>
          <rPr>
            <sz val="9"/>
            <color indexed="81"/>
            <rFont val="Tahoma"/>
            <family val="2"/>
          </rPr>
          <t xml:space="preserve">
Cost subsequent to project commissioning based on a November 31 in-service date.</t>
        </r>
      </text>
    </comment>
    <comment ref="B67" authorId="1" shapeId="0" xr:uid="{3A98AFB8-3646-412C-82C4-175C24452B3D}">
      <text>
        <r>
          <rPr>
            <b/>
            <sz val="9"/>
            <color indexed="81"/>
            <rFont val="Tahoma"/>
            <family val="2"/>
          </rPr>
          <t>supersetup:</t>
        </r>
        <r>
          <rPr>
            <sz val="9"/>
            <color indexed="81"/>
            <rFont val="Tahoma"/>
            <family val="2"/>
          </rPr>
          <t xml:space="preserve">
As per Newfoundland and Labrador Water Power Rental Regulations under the Water Resources Act - All Items Canadian CPI
https://assembly.nl.ca/Legislation/sr/Regulations/rc030064.htm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supersetup</author>
  </authors>
  <commentList>
    <comment ref="G10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supersetup:</t>
        </r>
        <r>
          <rPr>
            <sz val="9"/>
            <color indexed="81"/>
            <rFont val="Tahoma"/>
            <family val="2"/>
          </rPr>
          <t xml:space="preserve">
Excluded Operating costs for 2022 since it is prior to the inservice date for the penstock replacement project.</t>
        </r>
      </text>
    </comment>
    <comment ref="L10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supersetup:</t>
        </r>
        <r>
          <rPr>
            <sz val="9"/>
            <color indexed="81"/>
            <rFont val="Tahoma"/>
            <family val="2"/>
          </rPr>
          <t xml:space="preserve">
The is no sunk costs as no capital additions have occurred</t>
        </r>
      </text>
    </comment>
    <comment ref="O10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supersetup:</t>
        </r>
        <r>
          <rPr>
            <sz val="9"/>
            <color indexed="81"/>
            <rFont val="Tahoma"/>
            <family val="2"/>
          </rPr>
          <t xml:space="preserve">
set to zero</t>
        </r>
      </text>
    </comment>
    <comment ref="C11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supersetup:</t>
        </r>
        <r>
          <rPr>
            <sz val="9"/>
            <color indexed="81"/>
            <rFont val="Tahoma"/>
            <family val="2"/>
          </rPr>
          <t xml:space="preserve">
Removed escalation to ensure amount matches capital budget</t>
        </r>
      </text>
    </comment>
    <comment ref="G11" authorId="0" shapeId="0" xr:uid="{121844EE-6AB4-415F-8EC4-CD3B99A00EF5}">
      <text>
        <r>
          <rPr>
            <b/>
            <sz val="9"/>
            <color indexed="81"/>
            <rFont val="Tahoma"/>
            <charset val="1"/>
          </rPr>
          <t>supersetup:</t>
        </r>
        <r>
          <rPr>
            <sz val="9"/>
            <color indexed="81"/>
            <rFont val="Tahoma"/>
            <charset val="1"/>
          </rPr>
          <t xml:space="preserve">
In response to CA-NP-161, 162, and 163, this cell includes if necessary reduced production from penstock replacement </t>
        </r>
      </text>
    </comment>
    <comment ref="O11" authorId="0" shapeId="0" xr:uid="{00000000-0006-0000-0400-000007000000}">
      <text>
        <r>
          <rPr>
            <b/>
            <sz val="9"/>
            <color indexed="81"/>
            <rFont val="Tahoma"/>
            <family val="2"/>
          </rPr>
          <t>supersetup:</t>
        </r>
        <r>
          <rPr>
            <sz val="9"/>
            <color indexed="81"/>
            <rFont val="Tahoma"/>
            <family val="2"/>
          </rPr>
          <t xml:space="preserve">
Adjusted to PW year of 2023. PW converted to a levelized annual value based on the period between going into service (Nov 31 2023 and production ending on December 31 2041 (18 year and 1 month) Main Study effectively assumed a Janaury 2023 in service date and a 50 year production period.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supersetup</author>
  </authors>
  <commentList>
    <comment ref="B7" authorId="0" shapeId="0" xr:uid="{00000000-0006-0000-0400-000008000000}">
      <text>
        <r>
          <rPr>
            <b/>
            <sz val="9"/>
            <color indexed="81"/>
            <rFont val="Tahoma"/>
            <family val="2"/>
          </rPr>
          <t>supersetup:</t>
        </r>
        <r>
          <rPr>
            <sz val="9"/>
            <color indexed="81"/>
            <rFont val="Tahoma"/>
            <family val="2"/>
          </rPr>
          <t xml:space="preserve">
Set to zero as analysis begins 2023</t>
        </r>
      </text>
    </comment>
    <comment ref="F8" authorId="0" shapeId="0" xr:uid="{00000000-0006-0000-0400-00000B000000}">
      <text>
        <r>
          <rPr>
            <b/>
            <sz val="9"/>
            <color indexed="81"/>
            <rFont val="Tahoma"/>
            <family val="2"/>
          </rPr>
          <t>supersetup:</t>
        </r>
        <r>
          <rPr>
            <sz val="9"/>
            <color indexed="81"/>
            <rFont val="Tahoma"/>
            <family val="2"/>
          </rPr>
          <t xml:space="preserve">
Adjusted to PW year of 2023. PW converted to a levelized annual value based on the period between going into service (Nov 31 2023 and production ending on December 31 2041 (18 year and 1 month) Main Study effectively assumed a Janaury 2023 in service date and a 50 year production period.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supersetup</author>
  </authors>
  <commentList>
    <comment ref="B7" authorId="0" shapeId="0" xr:uid="{00000000-0006-0000-0400-000009000000}">
      <text>
        <r>
          <rPr>
            <b/>
            <sz val="9"/>
            <color indexed="81"/>
            <rFont val="Tahoma"/>
            <family val="2"/>
          </rPr>
          <t>supersetup:</t>
        </r>
        <r>
          <rPr>
            <sz val="9"/>
            <color indexed="81"/>
            <rFont val="Tahoma"/>
            <family val="2"/>
          </rPr>
          <t xml:space="preserve">
Set to zero as analysis begins 2023</t>
        </r>
      </text>
    </comment>
    <comment ref="F8" authorId="0" shapeId="0" xr:uid="{00000000-0006-0000-0400-00000C000000}">
      <text>
        <r>
          <rPr>
            <b/>
            <sz val="9"/>
            <color indexed="81"/>
            <rFont val="Tahoma"/>
            <family val="2"/>
          </rPr>
          <t>supersetup:</t>
        </r>
        <r>
          <rPr>
            <sz val="9"/>
            <color indexed="81"/>
            <rFont val="Tahoma"/>
            <family val="2"/>
          </rPr>
          <t xml:space="preserve">
Adjusted to PW year of 2023. PW converted to a levelized annual value based on the period between going into service (Nov 31 2023 and production ending on December 31 2041 (18 year and 1 month) Main Study effectively assumed a Janaury 2023 in service date and a 50 year production period.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supersetup</author>
  </authors>
  <commentList>
    <comment ref="A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supersetup:</t>
        </r>
        <r>
          <rPr>
            <sz val="9"/>
            <color indexed="81"/>
            <rFont val="Tahoma"/>
            <family val="2"/>
          </rPr>
          <t xml:space="preserve">
See 2018 marginal cost update Figure 7 for FOR for GT, and 2020 update for reserve margin adjustment. Reference capital budget working area - 2020 Marginal Cost update - "2020 Marginal Cost Update Capacity Cost.pdf" </t>
        </r>
      </text>
    </comment>
    <comment ref="B8" authorId="0" shapeId="0" xr:uid="{00000000-0006-0000-0400-00000A000000}">
      <text>
        <r>
          <rPr>
            <b/>
            <sz val="9"/>
            <color indexed="81"/>
            <rFont val="Tahoma"/>
            <family val="2"/>
          </rPr>
          <t>supersetup:</t>
        </r>
        <r>
          <rPr>
            <sz val="9"/>
            <color indexed="81"/>
            <rFont val="Tahoma"/>
            <family val="2"/>
          </rPr>
          <t xml:space="preserve">
Set to zero as analysis begins 2023</t>
        </r>
      </text>
    </comment>
    <comment ref="G9" authorId="0" shapeId="0" xr:uid="{00000000-0006-0000-0400-00000D000000}">
      <text>
        <r>
          <rPr>
            <b/>
            <sz val="9"/>
            <color indexed="81"/>
            <rFont val="Tahoma"/>
            <family val="2"/>
          </rPr>
          <t>supersetup:</t>
        </r>
        <r>
          <rPr>
            <sz val="9"/>
            <color indexed="81"/>
            <rFont val="Tahoma"/>
            <family val="2"/>
          </rPr>
          <t xml:space="preserve">
Adjusted to PW year of 2023 PW converted to a levelized annual value based on the period between going into service (Nov 31 2023 and production ending on December 31 2041 (18 year and 1 month) Main Study effectively assumed a Janaury 2023 in service date and a 50 year production period.
</t>
        </r>
      </text>
    </comment>
  </commentList>
</comments>
</file>

<file path=xl/sharedStrings.xml><?xml version="1.0" encoding="utf-8"?>
<sst xmlns="http://schemas.openxmlformats.org/spreadsheetml/2006/main" count="202" uniqueCount="142">
  <si>
    <t>Operating</t>
  </si>
  <si>
    <t>Costs</t>
  </si>
  <si>
    <t>Weighted Average Incremental Cost of Capital</t>
  </si>
  <si>
    <t>PW Year</t>
  </si>
  <si>
    <t>CONVERSION FROM CAPITAL EXPENDITURES TO REVENUE REQUIREMENT</t>
  </si>
  <si>
    <t>Total</t>
  </si>
  <si>
    <t>Capital Expenditures transferred from Summary Sheet</t>
  </si>
  <si>
    <t>Revenue Requirement values transferred back to Summary Sheet</t>
  </si>
  <si>
    <t>GENERATION EXPENDITURES</t>
  </si>
  <si>
    <t>Generation</t>
  </si>
  <si>
    <t>Hydro</t>
  </si>
  <si>
    <t>(% over previous year)</t>
  </si>
  <si>
    <t>Escalated Amount</t>
  </si>
  <si>
    <t>NOTES</t>
  </si>
  <si>
    <t>8% CCA</t>
  </si>
  <si>
    <t>Present Worth of Sunk Costs</t>
  </si>
  <si>
    <t>Net benefit</t>
  </si>
  <si>
    <t>Operating Benefits</t>
  </si>
  <si>
    <t>Operating Costs</t>
  </si>
  <si>
    <t>Total Present Worth</t>
  </si>
  <si>
    <t>Index</t>
  </si>
  <si>
    <t>GDP Deflator (All canada)</t>
  </si>
  <si>
    <t>Summary</t>
  </si>
  <si>
    <t>Existing Plant Output</t>
  </si>
  <si>
    <t>GWhrs</t>
  </si>
  <si>
    <t>Generation Increase</t>
  </si>
  <si>
    <t>New Plant Output</t>
  </si>
  <si>
    <t>NP Output</t>
  </si>
  <si>
    <t>Plant Operating</t>
  </si>
  <si>
    <t>Hydro Ops</t>
  </si>
  <si>
    <t>Plant Portion of</t>
  </si>
  <si>
    <t>Annual Operating Costs</t>
  </si>
  <si>
    <t>Operating Savings</t>
  </si>
  <si>
    <t>Revised Annual Costs</t>
  </si>
  <si>
    <t>5 year Average</t>
  </si>
  <si>
    <t>2) Annual Cost Calculated Specific Plant Charges + % Of Hydro Operations based on annual Output</t>
  </si>
  <si>
    <t>3) Ensure Gen Tax is included</t>
  </si>
  <si>
    <t>Existing Plant Capacity</t>
  </si>
  <si>
    <t xml:space="preserve"> (Available for Winter Peak)</t>
  </si>
  <si>
    <t>MW</t>
  </si>
  <si>
    <t>Levelized</t>
  </si>
  <si>
    <t>Rev Rqmt</t>
  </si>
  <si>
    <t xml:space="preserve">  Rev Rqmt</t>
  </si>
  <si>
    <t>(¢/kWhr)</t>
  </si>
  <si>
    <t>Year</t>
  </si>
  <si>
    <t>$/MWh</t>
  </si>
  <si>
    <t>4) Available for Winter Peak as reported to Hydro (based on capacity during capacity test)</t>
  </si>
  <si>
    <t>Marginal Capacity Cost</t>
  </si>
  <si>
    <t>Marginal Energy Costs</t>
  </si>
  <si>
    <t>Island Inconnected System</t>
  </si>
  <si>
    <t>at Hydro's Delivery Point to NP</t>
  </si>
  <si>
    <t>Energy Supply Costs</t>
  </si>
  <si>
    <t>Winter</t>
  </si>
  <si>
    <t>Non-Winter</t>
  </si>
  <si>
    <t>All hours</t>
  </si>
  <si>
    <t>Cumulative present Worth</t>
  </si>
  <si>
    <t>Plant Production Splits</t>
  </si>
  <si>
    <t>Value of Export Sales</t>
  </si>
  <si>
    <t>Levelizied Value of capacity</t>
  </si>
  <si>
    <t>$</t>
  </si>
  <si>
    <t xml:space="preserve">$/kW·yr </t>
  </si>
  <si>
    <t>Weighted Export Energy Supply Total</t>
  </si>
  <si>
    <t>Weighted Generation Capacity Total</t>
  </si>
  <si>
    <t xml:space="preserve">                    Capacity Costs                         </t>
  </si>
  <si>
    <t>Run of River</t>
  </si>
  <si>
    <t>Effective Capacity</t>
  </si>
  <si>
    <t>Value of Avoided Generation Capacity</t>
  </si>
  <si>
    <t>Cumulative Present Worth</t>
  </si>
  <si>
    <t>Levelizied Value of Export Energy</t>
  </si>
  <si>
    <t xml:space="preserve">Normal Production </t>
  </si>
  <si>
    <t>Value of the Opportunity Cost of Energy</t>
  </si>
  <si>
    <t>Marginal Cost Projection 2022 - 2040</t>
  </si>
  <si>
    <t>Notes</t>
  </si>
  <si>
    <t>2020 - 2029 Based on Marginal Cost Projection from Hydro's Marginal Cost Update, April 2020</t>
  </si>
  <si>
    <t>After 2029 Based on Cost Escalation Factor from Escalation Sheet</t>
  </si>
  <si>
    <t>Escalation to 2022</t>
  </si>
  <si>
    <t>Inflation adjustment taken from Historic long term all Canada GDP Deflator Forecast - February 24, 2021</t>
  </si>
  <si>
    <t>Plant Effective Capacity reflecting 95% FOR and a 16.0% Reserve Margin</t>
  </si>
  <si>
    <t>Source: Hourly Hydro Prod Input for NPV - for appropriate Hydro Plant</t>
  </si>
  <si>
    <t>1) Energy Taken from the 2015 Water Management Study</t>
  </si>
  <si>
    <t>All Operating costs should reflect cost escalations to 2022</t>
  </si>
  <si>
    <t>Sandy Brook</t>
  </si>
  <si>
    <t>Escalation 2022</t>
  </si>
  <si>
    <t>Rounded Figure for 2022</t>
  </si>
  <si>
    <t>Escalation 2021</t>
  </si>
  <si>
    <t>Total Water Rental Rate ($2022)</t>
  </si>
  <si>
    <t>See Operating Cost Table</t>
  </si>
  <si>
    <t>Levelized Present Worth Analysis of the Cost of Future Plant Production</t>
  </si>
  <si>
    <t>Capital Revenue Rqmt</t>
  </si>
  <si>
    <t>Capital Expenditures by Year</t>
  </si>
  <si>
    <t>Estimated Normal Production</t>
  </si>
  <si>
    <t>Operating Cost Information</t>
  </si>
  <si>
    <t>2022 $</t>
  </si>
  <si>
    <t>Water Rental Tax:</t>
  </si>
  <si>
    <t>Total Annual Operating Cost:</t>
  </si>
  <si>
    <t>Water Rental Tax</t>
  </si>
  <si>
    <t>2020 Estimated Water Rental Rate</t>
  </si>
  <si>
    <t>based on rate of 2.5 $/MWh established in 2016</t>
  </si>
  <si>
    <t>Escalation to 2022 based on Conference board of Canada's forecast for All Items Consumer price index.</t>
  </si>
  <si>
    <t>Beyond 2022 assumes GDP Deflator forecast (Canada) is a reasonable approximation for forecast CPI</t>
  </si>
  <si>
    <t>Escalation for converting historic operating costs to 2022 equivalent</t>
  </si>
  <si>
    <t>Source:  2020 Marginal Cost Update Master</t>
  </si>
  <si>
    <t>On-Peak</t>
  </si>
  <si>
    <t>Off-Peak</t>
  </si>
  <si>
    <t xml:space="preserve">Plant Production </t>
  </si>
  <si>
    <t>Notes:</t>
  </si>
  <si>
    <t>2022 - 2025</t>
  </si>
  <si>
    <t>Escalation from Conference Board of Canada's medium term forecast of the Implicit Price Deflator: G.D.P at Market Price for Canada.  Dated February, 24 2021</t>
  </si>
  <si>
    <t>2026 - 2040</t>
  </si>
  <si>
    <t>Escalation from Conference Board of Canada's long term forecast of the Implicit Price Deflator: G.D.P at Market Price for Canada. Dated December 5, 2019.</t>
  </si>
  <si>
    <t>2041 and Beyond</t>
  </si>
  <si>
    <t>Escalation based on average % escalation from 2041 - 2044.</t>
  </si>
  <si>
    <t>Annual Revenue Requirement for $100 Generation Asset</t>
  </si>
  <si>
    <t>Present Worth Benefit</t>
  </si>
  <si>
    <t>Cumulative Present Value Benefit</t>
  </si>
  <si>
    <t>Total Present Worth Benefit</t>
  </si>
  <si>
    <t>Value of Avoided Capacity (Fully Dispatchable Assumption)</t>
  </si>
  <si>
    <t>Revenue Requirement Conversion from Capital Expenditures</t>
  </si>
  <si>
    <t>For 2023 (2022 $)</t>
  </si>
  <si>
    <t>Non-Winter Marginal Energy Cost</t>
  </si>
  <si>
    <t>Energy</t>
  </si>
  <si>
    <t>Capacity (Run of River Scenario)</t>
  </si>
  <si>
    <t>Non-Winter Marginal Capacity Costs</t>
  </si>
  <si>
    <t>2023 Water spill during construction</t>
  </si>
  <si>
    <t>Unit cost to customers for spill</t>
  </si>
  <si>
    <t>Capacity (Fully Dispatchable)</t>
  </si>
  <si>
    <t>Assumes full period of need limited to winter period</t>
  </si>
  <si>
    <t>Is spill incremental to life extension project</t>
  </si>
  <si>
    <t>MWh</t>
  </si>
  <si>
    <t>(Y/N) N if plant will need to be shut down without life extension project.</t>
  </si>
  <si>
    <t>Run of River Scenario</t>
  </si>
  <si>
    <t>Fully Dispatchable Scenario</t>
  </si>
  <si>
    <t>2023 cost increase due to reduced output during capital project.</t>
  </si>
  <si>
    <t>Increased Supply cost due to reduced output from capital projects.</t>
  </si>
  <si>
    <t>2023 Production post in-service date</t>
  </si>
  <si>
    <t>Value of Avoided Capacity (Assuming Plant of Run of River Plant)</t>
  </si>
  <si>
    <t>Cost of Reducted Production during Construction</t>
  </si>
  <si>
    <t>(Current $)</t>
  </si>
  <si>
    <t>(2022$)</t>
  </si>
  <si>
    <t>N</t>
  </si>
  <si>
    <t>Split for December Production</t>
  </si>
  <si>
    <t xml:space="preserve">3)  In service date for the Sandy Book Project is assumed to be November 31, 2023.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</si>
</sst>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General_)"/>
    <numFmt numFmtId="166" formatCode="0.0000"/>
    <numFmt numFmtId="167" formatCode="0.0%"/>
    <numFmt numFmtId="168" formatCode="#,##0.000"/>
    <numFmt numFmtId="169" formatCode="_(* #,##0_);_(* \(#,##0\);_(* &quot;-&quot;??_);_(@_)"/>
    <numFmt numFmtId="170" formatCode="_(* #,##0.000_);_(* \(#,##0.000\);_(* &quot;-&quot;??_);_(@_)"/>
    <numFmt numFmtId="171" formatCode="0.000"/>
    <numFmt numFmtId="172" formatCode="_(* #,##0.0_);_(* \(#,##0.0\);_(* &quot;-&quot;??_);_(@_)"/>
    <numFmt numFmtId="173" formatCode="_-&quot;$&quot;* #,##0.000_-;\-&quot;$&quot;* #,##0.000_-;_-&quot;$&quot;* &quot;-&quot;??_-;_-@_-"/>
    <numFmt numFmtId="174" formatCode="0.00000"/>
    <numFmt numFmtId="175" formatCode="_(* #,##0.0000_);_(* \(#,##0.0000\);_(* &quot;-&quot;??_);_(@_)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urier"/>
      <family val="3"/>
    </font>
    <font>
      <sz val="8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0"/>
      <name val="Times New Roman"/>
      <family val="1"/>
    </font>
    <font>
      <b/>
      <u/>
      <sz val="11"/>
      <color indexed="8"/>
      <name val="Times New Roman"/>
      <family val="1"/>
    </font>
    <font>
      <u/>
      <sz val="11"/>
      <name val="Times New Roman"/>
      <family val="1"/>
    </font>
    <font>
      <b/>
      <u/>
      <sz val="11"/>
      <name val="Times New Roman"/>
      <family val="1"/>
    </font>
    <font>
      <b/>
      <sz val="11"/>
      <color indexed="56"/>
      <name val="Times New Roman"/>
      <family val="1"/>
    </font>
    <font>
      <sz val="11"/>
      <color indexed="8"/>
      <name val="Times New Roman"/>
      <family val="1"/>
    </font>
    <font>
      <b/>
      <sz val="11"/>
      <color indexed="12"/>
      <name val="Times New Roman"/>
      <family val="1"/>
    </font>
    <font>
      <sz val="11"/>
      <name val="Arial"/>
      <family val="2"/>
    </font>
    <font>
      <sz val="11"/>
      <color indexed="56"/>
      <name val="Times New Roman"/>
      <family val="1"/>
    </font>
    <font>
      <sz val="11"/>
      <color indexed="10"/>
      <name val="Times New Roman"/>
      <family val="1"/>
    </font>
    <font>
      <b/>
      <sz val="10"/>
      <color rgb="FFFF0000"/>
      <name val="Times New Roman"/>
      <family val="1"/>
    </font>
    <font>
      <sz val="11"/>
      <color rgb="FFC00000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auto="1"/>
      </top>
      <bottom/>
      <diagonal/>
    </border>
  </borders>
  <cellStyleXfs count="7">
    <xf numFmtId="0" fontId="0" fillId="0" borderId="0"/>
    <xf numFmtId="44" fontId="2" fillId="0" borderId="0" applyFont="0" applyFill="0" applyBorder="0" applyAlignment="0" applyProtection="0"/>
    <xf numFmtId="165" fontId="3" fillId="0" borderId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217">
    <xf numFmtId="0" fontId="0" fillId="0" borderId="0" xfId="0"/>
    <xf numFmtId="171" fontId="7" fillId="0" borderId="0" xfId="0" applyNumberFormat="1" applyFont="1" applyAlignment="1">
      <alignment horizontal="center"/>
    </xf>
    <xf numFmtId="0" fontId="7" fillId="0" borderId="0" xfId="0" applyFont="1"/>
    <xf numFmtId="170" fontId="7" fillId="0" borderId="0" xfId="4" applyNumberFormat="1" applyFont="1"/>
    <xf numFmtId="0" fontId="9" fillId="0" borderId="0" xfId="0" applyFont="1"/>
    <xf numFmtId="0" fontId="11" fillId="0" borderId="0" xfId="0" applyFont="1"/>
    <xf numFmtId="0" fontId="10" fillId="0" borderId="0" xfId="0" applyFont="1" applyAlignment="1"/>
    <xf numFmtId="0" fontId="10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43" fontId="9" fillId="0" borderId="0" xfId="4" applyFont="1"/>
    <xf numFmtId="43" fontId="9" fillId="0" borderId="0" xfId="0" applyNumberFormat="1" applyFont="1" applyAlignment="1">
      <alignment horizontal="center"/>
    </xf>
    <xf numFmtId="43" fontId="7" fillId="0" borderId="0" xfId="4" applyFont="1"/>
    <xf numFmtId="3" fontId="7" fillId="0" borderId="0" xfId="0" applyNumberFormat="1" applyFont="1"/>
    <xf numFmtId="0" fontId="7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165" fontId="7" fillId="0" borderId="0" xfId="2" applyFont="1" applyFill="1" applyAlignment="1">
      <alignment horizontal="left"/>
    </xf>
    <xf numFmtId="165" fontId="7" fillId="0" borderId="0" xfId="2" applyFont="1" applyFill="1" applyAlignment="1" applyProtection="1">
      <alignment horizontal="left"/>
    </xf>
    <xf numFmtId="165" fontId="7" fillId="0" borderId="0" xfId="2" applyFont="1" applyAlignment="1">
      <alignment horizontal="left"/>
    </xf>
    <xf numFmtId="165" fontId="7" fillId="0" borderId="0" xfId="2" applyFont="1"/>
    <xf numFmtId="44" fontId="7" fillId="0" borderId="0" xfId="1" applyFont="1"/>
    <xf numFmtId="169" fontId="7" fillId="0" borderId="0" xfId="0" applyNumberFormat="1" applyFont="1"/>
    <xf numFmtId="43" fontId="7" fillId="0" borderId="0" xfId="0" applyNumberFormat="1" applyFont="1"/>
    <xf numFmtId="0" fontId="11" fillId="0" borderId="0" xfId="0" applyFont="1" applyAlignment="1">
      <alignment wrapText="1"/>
    </xf>
    <xf numFmtId="0" fontId="7" fillId="0" borderId="0" xfId="0" applyFont="1" applyAlignment="1">
      <alignment horizontal="center"/>
    </xf>
    <xf numFmtId="3" fontId="8" fillId="0" borderId="0" xfId="2" applyNumberFormat="1" applyFont="1" applyFill="1" applyAlignment="1">
      <alignment horizontal="left"/>
    </xf>
    <xf numFmtId="0" fontId="7" fillId="0" borderId="0" xfId="0" applyFont="1" applyFill="1"/>
    <xf numFmtId="43" fontId="7" fillId="0" borderId="0" xfId="0" applyNumberFormat="1" applyFont="1" applyFill="1"/>
    <xf numFmtId="0" fontId="10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3" fontId="8" fillId="0" borderId="0" xfId="0" applyNumberFormat="1" applyFont="1"/>
    <xf numFmtId="171" fontId="7" fillId="0" borderId="0" xfId="0" quotePrefix="1" applyNumberFormat="1" applyFont="1" applyAlignment="1">
      <alignment horizontal="center"/>
    </xf>
    <xf numFmtId="3" fontId="7" fillId="0" borderId="0" xfId="1" applyNumberFormat="1" applyFont="1"/>
    <xf numFmtId="43" fontId="8" fillId="0" borderId="0" xfId="0" applyNumberFormat="1" applyFont="1"/>
    <xf numFmtId="165" fontId="8" fillId="0" borderId="0" xfId="2" applyFont="1" applyFill="1" applyAlignment="1">
      <alignment horizontal="centerContinuous"/>
    </xf>
    <xf numFmtId="3" fontId="8" fillId="0" borderId="0" xfId="2" applyNumberFormat="1" applyFont="1" applyFill="1" applyAlignment="1">
      <alignment horizontal="centerContinuous"/>
    </xf>
    <xf numFmtId="10" fontId="8" fillId="0" borderId="0" xfId="3" applyNumberFormat="1" applyFont="1" applyFill="1"/>
    <xf numFmtId="0" fontId="12" fillId="0" borderId="0" xfId="0" applyFont="1"/>
    <xf numFmtId="165" fontId="12" fillId="0" borderId="0" xfId="2" applyFont="1" applyFill="1" applyAlignment="1">
      <alignment horizontal="centerContinuous"/>
    </xf>
    <xf numFmtId="3" fontId="12" fillId="0" borderId="0" xfId="0" applyNumberFormat="1" applyFont="1"/>
    <xf numFmtId="0" fontId="19" fillId="0" borderId="0" xfId="0" applyFont="1"/>
    <xf numFmtId="3" fontId="20" fillId="0" borderId="0" xfId="1" applyNumberFormat="1" applyFont="1"/>
    <xf numFmtId="3" fontId="12" fillId="0" borderId="0" xfId="2" applyNumberFormat="1" applyFont="1" applyFill="1" applyAlignment="1">
      <alignment horizontal="center"/>
    </xf>
    <xf numFmtId="3" fontId="19" fillId="0" borderId="0" xfId="2" applyNumberFormat="1" applyFont="1" applyFill="1" applyAlignment="1">
      <alignment horizontal="center"/>
    </xf>
    <xf numFmtId="165" fontId="12" fillId="0" borderId="0" xfId="2" applyFont="1"/>
    <xf numFmtId="3" fontId="21" fillId="0" borderId="0" xfId="2" applyNumberFormat="1" applyFont="1" applyAlignment="1">
      <alignment horizontal="center"/>
    </xf>
    <xf numFmtId="44" fontId="12" fillId="0" borderId="0" xfId="1" applyFont="1"/>
    <xf numFmtId="3" fontId="22" fillId="0" borderId="0" xfId="0" applyNumberFormat="1" applyFont="1"/>
    <xf numFmtId="3" fontId="17" fillId="0" borderId="0" xfId="0" applyNumberFormat="1" applyFont="1" applyAlignment="1"/>
    <xf numFmtId="0" fontId="1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65" fontId="19" fillId="0" borderId="0" xfId="2" applyFont="1" applyFill="1" applyAlignment="1">
      <alignment horizontal="centerContinuous"/>
    </xf>
    <xf numFmtId="0" fontId="10" fillId="0" borderId="0" xfId="5" applyFont="1" applyBorder="1" applyAlignment="1">
      <alignment horizontal="center"/>
    </xf>
    <xf numFmtId="0" fontId="10" fillId="0" borderId="8" xfId="5" applyFont="1" applyBorder="1"/>
    <xf numFmtId="0" fontId="10" fillId="0" borderId="8" xfId="5" applyFont="1" applyBorder="1" applyAlignment="1">
      <alignment horizontal="center"/>
    </xf>
    <xf numFmtId="0" fontId="10" fillId="0" borderId="8" xfId="5" applyFont="1" applyFill="1" applyBorder="1" applyAlignment="1">
      <alignment horizontal="center"/>
    </xf>
    <xf numFmtId="0" fontId="10" fillId="0" borderId="9" xfId="5" applyFont="1" applyBorder="1"/>
    <xf numFmtId="0" fontId="10" fillId="0" borderId="9" xfId="5" applyFont="1" applyBorder="1" applyAlignment="1">
      <alignment horizontal="center"/>
    </xf>
    <xf numFmtId="0" fontId="10" fillId="0" borderId="1" xfId="5" applyFont="1" applyBorder="1"/>
    <xf numFmtId="164" fontId="9" fillId="0" borderId="1" xfId="6" applyFont="1" applyBorder="1" applyAlignment="1">
      <alignment horizontal="center"/>
    </xf>
    <xf numFmtId="164" fontId="9" fillId="0" borderId="3" xfId="6" applyFont="1" applyFill="1" applyBorder="1" applyAlignment="1">
      <alignment horizontal="center"/>
    </xf>
    <xf numFmtId="164" fontId="9" fillId="0" borderId="1" xfId="6" applyFont="1" applyFill="1" applyBorder="1" applyAlignment="1">
      <alignment horizontal="center"/>
    </xf>
    <xf numFmtId="164" fontId="9" fillId="0" borderId="1" xfId="5" applyNumberFormat="1" applyFont="1" applyBorder="1"/>
    <xf numFmtId="170" fontId="9" fillId="0" borderId="1" xfId="4" applyNumberFormat="1" applyFont="1" applyFill="1" applyBorder="1" applyAlignment="1">
      <alignment horizontal="center"/>
    </xf>
    <xf numFmtId="164" fontId="9" fillId="0" borderId="8" xfId="6" applyFont="1" applyBorder="1" applyAlignment="1">
      <alignment horizontal="center"/>
    </xf>
    <xf numFmtId="164" fontId="9" fillId="0" borderId="8" xfId="6" applyFont="1" applyFill="1" applyBorder="1" applyAlignment="1">
      <alignment horizontal="center"/>
    </xf>
    <xf numFmtId="164" fontId="9" fillId="0" borderId="8" xfId="5" applyNumberFormat="1" applyFont="1" applyBorder="1"/>
    <xf numFmtId="0" fontId="10" fillId="0" borderId="20" xfId="5" applyFont="1" applyBorder="1" applyAlignment="1">
      <alignment horizontal="center"/>
    </xf>
    <xf numFmtId="164" fontId="9" fillId="0" borderId="16" xfId="6" applyFont="1" applyBorder="1" applyAlignment="1">
      <alignment horizontal="center"/>
    </xf>
    <xf numFmtId="164" fontId="9" fillId="0" borderId="13" xfId="6" applyFont="1" applyBorder="1" applyAlignment="1">
      <alignment horizontal="center"/>
    </xf>
    <xf numFmtId="164" fontId="9" fillId="0" borderId="14" xfId="6" applyFont="1" applyBorder="1" applyAlignment="1">
      <alignment horizontal="center"/>
    </xf>
    <xf numFmtId="164" fontId="9" fillId="0" borderId="15" xfId="5" applyNumberFormat="1" applyFont="1" applyBorder="1"/>
    <xf numFmtId="164" fontId="9" fillId="0" borderId="13" xfId="5" applyNumberFormat="1" applyFont="1" applyBorder="1"/>
    <xf numFmtId="0" fontId="9" fillId="0" borderId="0" xfId="5" applyFont="1"/>
    <xf numFmtId="173" fontId="9" fillId="0" borderId="0" xfId="5" applyNumberFormat="1" applyFont="1" applyBorder="1"/>
    <xf numFmtId="0" fontId="11" fillId="0" borderId="3" xfId="0" applyFont="1" applyBorder="1"/>
    <xf numFmtId="0" fontId="12" fillId="0" borderId="4" xfId="0" applyFont="1" applyBorder="1"/>
    <xf numFmtId="0" fontId="12" fillId="5" borderId="3" xfId="0" applyFont="1" applyFill="1" applyBorder="1"/>
    <xf numFmtId="0" fontId="12" fillId="0" borderId="5" xfId="0" applyFont="1" applyBorder="1" applyAlignment="1">
      <alignment horizontal="center"/>
    </xf>
    <xf numFmtId="0" fontId="12" fillId="0" borderId="3" xfId="0" applyFont="1" applyBorder="1"/>
    <xf numFmtId="44" fontId="12" fillId="0" borderId="0" xfId="0" applyNumberFormat="1" applyFont="1"/>
    <xf numFmtId="0" fontId="12" fillId="0" borderId="17" xfId="0" applyFont="1" applyBorder="1"/>
    <xf numFmtId="2" fontId="12" fillId="0" borderId="3" xfId="0" applyNumberFormat="1" applyFont="1" applyBorder="1"/>
    <xf numFmtId="0" fontId="11" fillId="0" borderId="18" xfId="0" applyFont="1" applyBorder="1" applyAlignment="1">
      <alignment horizontal="center"/>
    </xf>
    <xf numFmtId="166" fontId="12" fillId="0" borderId="0" xfId="0" applyNumberFormat="1" applyFont="1"/>
    <xf numFmtId="44" fontId="12" fillId="0" borderId="18" xfId="0" applyNumberFormat="1" applyFont="1" applyBorder="1"/>
    <xf numFmtId="0" fontId="12" fillId="0" borderId="5" xfId="0" applyFont="1" applyBorder="1"/>
    <xf numFmtId="0" fontId="11" fillId="0" borderId="10" xfId="0" applyFont="1" applyBorder="1"/>
    <xf numFmtId="0" fontId="12" fillId="0" borderId="11" xfId="0" applyFont="1" applyBorder="1"/>
    <xf numFmtId="164" fontId="12" fillId="0" borderId="3" xfId="6" applyFont="1" applyFill="1" applyBorder="1" applyAlignment="1">
      <alignment horizontal="center"/>
    </xf>
    <xf numFmtId="164" fontId="12" fillId="0" borderId="6" xfId="6" applyFont="1" applyFill="1" applyBorder="1" applyAlignment="1">
      <alignment horizontal="center"/>
    </xf>
    <xf numFmtId="44" fontId="12" fillId="0" borderId="19" xfId="0" applyNumberFormat="1" applyFont="1" applyBorder="1"/>
    <xf numFmtId="164" fontId="12" fillId="0" borderId="19" xfId="0" applyNumberFormat="1" applyFont="1" applyBorder="1"/>
    <xf numFmtId="44" fontId="12" fillId="0" borderId="19" xfId="1" applyFont="1" applyFill="1" applyBorder="1"/>
    <xf numFmtId="170" fontId="12" fillId="0" borderId="0" xfId="4" applyNumberFormat="1" applyFont="1"/>
    <xf numFmtId="43" fontId="12" fillId="0" borderId="0" xfId="0" applyNumberFormat="1" applyFont="1"/>
    <xf numFmtId="0" fontId="11" fillId="0" borderId="0" xfId="0" applyFont="1" applyAlignment="1">
      <alignment horizontal="center"/>
    </xf>
    <xf numFmtId="4" fontId="12" fillId="0" borderId="0" xfId="0" applyNumberFormat="1" applyFont="1"/>
    <xf numFmtId="10" fontId="12" fillId="5" borderId="0" xfId="0" applyNumberFormat="1" applyFont="1" applyFill="1"/>
    <xf numFmtId="43" fontId="12" fillId="0" borderId="0" xfId="4" applyFont="1"/>
    <xf numFmtId="167" fontId="12" fillId="0" borderId="0" xfId="3" applyNumberFormat="1" applyFont="1"/>
    <xf numFmtId="43" fontId="12" fillId="0" borderId="0" xfId="4" applyNumberFormat="1" applyFont="1"/>
    <xf numFmtId="2" fontId="12" fillId="0" borderId="0" xfId="0" applyNumberFormat="1" applyFont="1" applyAlignment="1">
      <alignment horizontal="right" indent="1"/>
    </xf>
    <xf numFmtId="0" fontId="10" fillId="0" borderId="11" xfId="5" applyFont="1" applyBorder="1" applyAlignment="1">
      <alignment horizontal="center"/>
    </xf>
    <xf numFmtId="0" fontId="10" fillId="0" borderId="0" xfId="5" applyFont="1" applyBorder="1" applyAlignment="1"/>
    <xf numFmtId="0" fontId="10" fillId="0" borderId="22" xfId="5" applyFont="1" applyBorder="1" applyAlignment="1">
      <alignment horizontal="center"/>
    </xf>
    <xf numFmtId="164" fontId="9" fillId="0" borderId="22" xfId="5" applyNumberFormat="1" applyFont="1" applyBorder="1"/>
    <xf numFmtId="0" fontId="11" fillId="0" borderId="0" xfId="0" applyFont="1" applyAlignment="1">
      <alignment vertical="top" wrapText="1"/>
    </xf>
    <xf numFmtId="0" fontId="23" fillId="0" borderId="0" xfId="0" applyFont="1"/>
    <xf numFmtId="172" fontId="9" fillId="0" borderId="0" xfId="0" applyNumberFormat="1" applyFont="1"/>
    <xf numFmtId="172" fontId="12" fillId="0" borderId="0" xfId="0" applyNumberFormat="1" applyFont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9" fontId="12" fillId="0" borderId="0" xfId="0" applyNumberFormat="1" applyFont="1" applyAlignment="1">
      <alignment horizontal="center"/>
    </xf>
    <xf numFmtId="2" fontId="12" fillId="0" borderId="0" xfId="0" applyNumberFormat="1" applyFont="1"/>
    <xf numFmtId="165" fontId="19" fillId="0" borderId="0" xfId="2" quotePrefix="1" applyFont="1" applyAlignment="1" applyProtection="1">
      <alignment horizontal="right"/>
    </xf>
    <xf numFmtId="2" fontId="19" fillId="0" borderId="0" xfId="0" applyNumberFormat="1" applyFont="1" applyAlignment="1">
      <alignment horizontal="center" wrapText="1"/>
    </xf>
    <xf numFmtId="165" fontId="12" fillId="0" borderId="0" xfId="0" applyNumberFormat="1" applyFont="1"/>
    <xf numFmtId="174" fontId="12" fillId="4" borderId="0" xfId="0" applyNumberFormat="1" applyFont="1" applyFill="1" applyAlignment="1">
      <alignment horizontal="right"/>
    </xf>
    <xf numFmtId="168" fontId="12" fillId="0" borderId="0" xfId="0" applyNumberFormat="1" applyFont="1"/>
    <xf numFmtId="170" fontId="11" fillId="0" borderId="0" xfId="4" applyNumberFormat="1" applyFont="1" applyAlignment="1">
      <alignment horizontal="left"/>
    </xf>
    <xf numFmtId="169" fontId="12" fillId="0" borderId="0" xfId="4" applyNumberFormat="1" applyFont="1" applyAlignment="1">
      <alignment horizontal="right"/>
    </xf>
    <xf numFmtId="170" fontId="12" fillId="0" borderId="0" xfId="4" applyNumberFormat="1" applyFont="1" applyAlignment="1">
      <alignment horizontal="left"/>
    </xf>
    <xf numFmtId="166" fontId="12" fillId="0" borderId="0" xfId="0" applyNumberFormat="1" applyFont="1" applyAlignment="1">
      <alignment horizontal="right"/>
    </xf>
    <xf numFmtId="170" fontId="12" fillId="0" borderId="0" xfId="4" applyNumberFormat="1" applyFont="1" applyFill="1" applyAlignment="1">
      <alignment horizontal="right" vertical="justify"/>
    </xf>
    <xf numFmtId="43" fontId="12" fillId="0" borderId="0" xfId="4" quotePrefix="1" applyFont="1" applyAlignment="1">
      <alignment horizontal="left"/>
    </xf>
    <xf numFmtId="174" fontId="12" fillId="2" borderId="0" xfId="0" applyNumberFormat="1" applyFont="1" applyFill="1" applyAlignment="1">
      <alignment horizontal="right"/>
    </xf>
    <xf numFmtId="174" fontId="9" fillId="2" borderId="0" xfId="4" applyNumberFormat="1" applyFont="1" applyFill="1"/>
    <xf numFmtId="174" fontId="9" fillId="3" borderId="0" xfId="4" applyNumberFormat="1" applyFont="1" applyFill="1"/>
    <xf numFmtId="174" fontId="9" fillId="3" borderId="0" xfId="0" applyNumberFormat="1" applyFont="1" applyFill="1"/>
    <xf numFmtId="165" fontId="19" fillId="0" borderId="0" xfId="2" quotePrefix="1" applyFont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2" fontId="19" fillId="0" borderId="0" xfId="0" applyNumberFormat="1" applyFont="1" applyAlignment="1">
      <alignment horizontal="center" vertical="center" wrapText="1"/>
    </xf>
    <xf numFmtId="4" fontId="19" fillId="0" borderId="0" xfId="0" applyNumberFormat="1" applyFont="1" applyAlignment="1">
      <alignment horizontal="center" vertical="center" wrapText="1"/>
    </xf>
    <xf numFmtId="0" fontId="18" fillId="0" borderId="0" xfId="0" applyFont="1"/>
    <xf numFmtId="0" fontId="12" fillId="0" borderId="0" xfId="0" applyFont="1" applyAlignment="1">
      <alignment vertical="top" wrapText="1"/>
    </xf>
    <xf numFmtId="165" fontId="11" fillId="0" borderId="0" xfId="2" applyFont="1" applyAlignment="1" applyProtection="1">
      <alignment horizontal="left"/>
    </xf>
    <xf numFmtId="165" fontId="11" fillId="0" borderId="0" xfId="2" applyFont="1"/>
    <xf numFmtId="44" fontId="24" fillId="0" borderId="0" xfId="1" applyFont="1"/>
    <xf numFmtId="8" fontId="12" fillId="0" borderId="0" xfId="1" applyNumberFormat="1" applyFont="1"/>
    <xf numFmtId="44" fontId="25" fillId="0" borderId="0" xfId="1" applyFont="1"/>
    <xf numFmtId="1" fontId="8" fillId="0" borderId="0" xfId="0" applyNumberFormat="1" applyFont="1" applyAlignment="1">
      <alignment horizontal="left"/>
    </xf>
    <xf numFmtId="10" fontId="26" fillId="0" borderId="0" xfId="0" applyNumberFormat="1" applyFont="1" applyAlignment="1" applyProtection="1">
      <alignment horizontal="left"/>
    </xf>
    <xf numFmtId="1" fontId="26" fillId="0" borderId="0" xfId="0" applyNumberFormat="1" applyFont="1" applyAlignment="1">
      <alignment horizontal="left"/>
    </xf>
    <xf numFmtId="0" fontId="8" fillId="0" borderId="0" xfId="0" applyFont="1" applyAlignment="1">
      <alignment wrapText="1"/>
    </xf>
    <xf numFmtId="0" fontId="12" fillId="0" borderId="0" xfId="0" applyFont="1" applyFill="1"/>
    <xf numFmtId="171" fontId="11" fillId="0" borderId="0" xfId="0" applyNumberFormat="1" applyFont="1" applyFill="1" applyAlignment="1">
      <alignment horizontal="center"/>
    </xf>
    <xf numFmtId="0" fontId="12" fillId="0" borderId="0" xfId="0" applyNumberFormat="1" applyFont="1" applyFill="1"/>
    <xf numFmtId="169" fontId="12" fillId="0" borderId="0" xfId="4" applyNumberFormat="1" applyFont="1" applyFill="1"/>
    <xf numFmtId="169" fontId="12" fillId="0" borderId="0" xfId="0" applyNumberFormat="1" applyFont="1" applyFill="1"/>
    <xf numFmtId="43" fontId="12" fillId="0" borderId="0" xfId="0" applyNumberFormat="1" applyFont="1" applyFill="1"/>
    <xf numFmtId="43" fontId="12" fillId="0" borderId="0" xfId="4" applyFont="1" applyFill="1"/>
    <xf numFmtId="0" fontId="12" fillId="0" borderId="0" xfId="0" applyFont="1" applyFill="1" applyAlignment="1">
      <alignment horizontal="center"/>
    </xf>
    <xf numFmtId="165" fontId="12" fillId="0" borderId="0" xfId="0" applyNumberFormat="1" applyFont="1" applyFill="1"/>
    <xf numFmtId="2" fontId="12" fillId="5" borderId="3" xfId="0" applyNumberFormat="1" applyFont="1" applyFill="1" applyBorder="1"/>
    <xf numFmtId="165" fontId="8" fillId="0" borderId="0" xfId="2" applyFont="1" applyFill="1"/>
    <xf numFmtId="171" fontId="8" fillId="0" borderId="0" xfId="0" applyNumberFormat="1" applyFont="1" applyAlignment="1">
      <alignment horizontal="center"/>
    </xf>
    <xf numFmtId="165" fontId="16" fillId="0" borderId="0" xfId="2" applyFont="1" applyFill="1"/>
    <xf numFmtId="0" fontId="16" fillId="0" borderId="0" xfId="0" applyFont="1"/>
    <xf numFmtId="3" fontId="8" fillId="0" borderId="0" xfId="2" applyNumberFormat="1" applyFont="1" applyFill="1" applyAlignment="1">
      <alignment horizontal="center" vertical="center"/>
    </xf>
    <xf numFmtId="3" fontId="8" fillId="0" borderId="0" xfId="2" applyNumberFormat="1" applyFont="1" applyAlignment="1">
      <alignment horizontal="center" vertical="center"/>
    </xf>
    <xf numFmtId="2" fontId="12" fillId="0" borderId="0" xfId="0" applyNumberFormat="1" applyFont="1" applyBorder="1"/>
    <xf numFmtId="9" fontId="12" fillId="0" borderId="0" xfId="0" applyNumberFormat="1" applyFont="1" applyBorder="1"/>
    <xf numFmtId="0" fontId="12" fillId="0" borderId="0" xfId="0" applyFont="1" applyAlignment="1">
      <alignment horizontal="center" vertical="center" wrapText="1"/>
    </xf>
    <xf numFmtId="165" fontId="11" fillId="0" borderId="0" xfId="2" applyFont="1" applyAlignment="1" applyProtection="1">
      <alignment horizontal="right"/>
    </xf>
    <xf numFmtId="165" fontId="11" fillId="0" borderId="0" xfId="2" applyFont="1" applyAlignment="1" applyProtection="1">
      <alignment horizontal="center"/>
    </xf>
    <xf numFmtId="0" fontId="11" fillId="0" borderId="0" xfId="0" applyFont="1" applyAlignment="1">
      <alignment horizontal="center" vertical="center" wrapText="1"/>
    </xf>
    <xf numFmtId="3" fontId="27" fillId="0" borderId="0" xfId="0" applyNumberFormat="1" applyFont="1" applyAlignment="1">
      <alignment horizontal="center"/>
    </xf>
    <xf numFmtId="44" fontId="9" fillId="0" borderId="0" xfId="1" applyFont="1"/>
    <xf numFmtId="170" fontId="10" fillId="0" borderId="8" xfId="4" applyNumberFormat="1" applyFont="1" applyFill="1" applyBorder="1" applyAlignment="1">
      <alignment horizontal="right"/>
    </xf>
    <xf numFmtId="4" fontId="12" fillId="0" borderId="9" xfId="0" applyNumberFormat="1" applyFont="1" applyBorder="1"/>
    <xf numFmtId="2" fontId="18" fillId="0" borderId="0" xfId="0" applyNumberFormat="1" applyFont="1" applyBorder="1"/>
    <xf numFmtId="9" fontId="12" fillId="0" borderId="0" xfId="0" applyNumberFormat="1" applyFont="1" applyFill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Border="1"/>
    <xf numFmtId="169" fontId="12" fillId="0" borderId="0" xfId="4" applyNumberFormat="1" applyFont="1"/>
    <xf numFmtId="10" fontId="12" fillId="0" borderId="0" xfId="3" applyNumberFormat="1" applyFont="1"/>
    <xf numFmtId="175" fontId="12" fillId="0" borderId="0" xfId="0" applyNumberFormat="1" applyFont="1"/>
    <xf numFmtId="0" fontId="30" fillId="0" borderId="0" xfId="0" applyFont="1"/>
    <xf numFmtId="0" fontId="12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wrapText="1"/>
    </xf>
    <xf numFmtId="49" fontId="12" fillId="0" borderId="0" xfId="0" applyNumberFormat="1" applyFont="1" applyAlignment="1">
      <alignment horizontal="left" vertical="top" wrapText="1"/>
    </xf>
    <xf numFmtId="164" fontId="12" fillId="0" borderId="6" xfId="0" applyNumberFormat="1" applyFont="1" applyFill="1" applyBorder="1" applyAlignment="1">
      <alignment horizontal="center" vertical="center"/>
    </xf>
    <xf numFmtId="164" fontId="12" fillId="0" borderId="7" xfId="0" applyNumberFormat="1" applyFont="1" applyFill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/>
    </xf>
    <xf numFmtId="164" fontId="12" fillId="0" borderId="21" xfId="0" applyNumberFormat="1" applyFont="1" applyFill="1" applyBorder="1" applyAlignment="1">
      <alignment horizontal="center" vertical="center"/>
    </xf>
    <xf numFmtId="164" fontId="12" fillId="0" borderId="10" xfId="0" applyNumberFormat="1" applyFont="1" applyFill="1" applyBorder="1" applyAlignment="1">
      <alignment horizontal="center" vertical="center"/>
    </xf>
    <xf numFmtId="164" fontId="12" fillId="0" borderId="12" xfId="0" applyNumberFormat="1" applyFont="1" applyFill="1" applyBorder="1" applyAlignment="1">
      <alignment horizontal="center" vertical="center"/>
    </xf>
    <xf numFmtId="2" fontId="11" fillId="0" borderId="0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0" fillId="0" borderId="8" xfId="5" applyFont="1" applyBorder="1" applyAlignment="1">
      <alignment horizontal="center" wrapText="1"/>
    </xf>
    <xf numFmtId="0" fontId="10" fillId="0" borderId="9" xfId="5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12" fillId="0" borderId="0" xfId="0" applyFont="1" applyFill="1" applyAlignment="1">
      <alignment horizontal="center"/>
    </xf>
    <xf numFmtId="0" fontId="11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2" fontId="19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65" fontId="10" fillId="0" borderId="0" xfId="2" applyFont="1" applyAlignment="1" applyProtection="1">
      <alignment horizontal="center" vertical="center"/>
    </xf>
    <xf numFmtId="165" fontId="11" fillId="0" borderId="0" xfId="2" applyFont="1" applyAlignment="1" applyProtection="1">
      <alignment horizontal="center" vertical="center"/>
    </xf>
    <xf numFmtId="0" fontId="16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top" wrapText="1"/>
    </xf>
    <xf numFmtId="0" fontId="11" fillId="0" borderId="0" xfId="0" applyFont="1" applyFill="1" applyAlignment="1">
      <alignment horizontal="center" wrapText="1"/>
    </xf>
    <xf numFmtId="0" fontId="19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top"/>
    </xf>
    <xf numFmtId="0" fontId="11" fillId="0" borderId="0" xfId="0" applyFont="1" applyFill="1" applyAlignment="1">
      <alignment horizontal="center" vertical="top" wrapText="1"/>
    </xf>
  </cellXfs>
  <cellStyles count="7">
    <cellStyle name="Comma" xfId="4" builtinId="3"/>
    <cellStyle name="Currency" xfId="1" builtinId="4"/>
    <cellStyle name="Currency 2" xfId="6" xr:uid="{00000000-0005-0000-0000-000002000000}"/>
    <cellStyle name="Normal" xfId="0" builtinId="0"/>
    <cellStyle name="Normal 3" xfId="5" xr:uid="{00000000-0005-0000-0000-000005000000}"/>
    <cellStyle name="Normal_Sheet1" xfId="2" xr:uid="{00000000-0005-0000-0000-000006000000}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88"/>
  <sheetViews>
    <sheetView workbookViewId="0">
      <selection activeCell="E9" sqref="E9"/>
    </sheetView>
  </sheetViews>
  <sheetFormatPr defaultRowHeight="15" x14ac:dyDescent="0.25"/>
  <cols>
    <col min="1" max="1" width="1.5703125" style="38" customWidth="1"/>
    <col min="2" max="2" width="9.140625" style="38"/>
    <col min="3" max="3" width="14" style="38" customWidth="1"/>
    <col min="4" max="4" width="10.28515625" style="38" customWidth="1"/>
    <col min="5" max="5" width="32.42578125" style="38" customWidth="1"/>
    <col min="6" max="16384" width="9.140625" style="38"/>
  </cols>
  <sheetData>
    <row r="1" spans="2:5" ht="5.25" customHeight="1" x14ac:dyDescent="0.25">
      <c r="C1" s="49"/>
    </row>
    <row r="2" spans="2:5" x14ac:dyDescent="0.25">
      <c r="B2" s="182" t="s">
        <v>89</v>
      </c>
      <c r="C2" s="182"/>
      <c r="D2" s="182"/>
    </row>
    <row r="3" spans="2:5" x14ac:dyDescent="0.25">
      <c r="C3" s="42"/>
      <c r="D3" s="41"/>
    </row>
    <row r="4" spans="2:5" x14ac:dyDescent="0.25">
      <c r="B4" s="52" t="s">
        <v>44</v>
      </c>
      <c r="C4" s="44" t="s">
        <v>9</v>
      </c>
      <c r="D4" s="51" t="s">
        <v>0</v>
      </c>
      <c r="E4" s="183" t="s">
        <v>136</v>
      </c>
    </row>
    <row r="5" spans="2:5" x14ac:dyDescent="0.25">
      <c r="B5" s="39"/>
      <c r="C5" s="43" t="s">
        <v>10</v>
      </c>
      <c r="D5" s="51" t="s">
        <v>1</v>
      </c>
      <c r="E5" s="183"/>
    </row>
    <row r="6" spans="2:5" x14ac:dyDescent="0.25">
      <c r="B6" s="45"/>
      <c r="C6" s="46" t="s">
        <v>14</v>
      </c>
      <c r="D6" s="181" t="s">
        <v>138</v>
      </c>
      <c r="E6" s="181" t="s">
        <v>137</v>
      </c>
    </row>
    <row r="7" spans="2:5" x14ac:dyDescent="0.25">
      <c r="B7" s="45"/>
      <c r="C7" s="42"/>
    </row>
    <row r="8" spans="2:5" x14ac:dyDescent="0.25">
      <c r="B8" s="45">
        <f>'Levelized PV Rev Rqmt'!H2</f>
        <v>2022</v>
      </c>
      <c r="C8" s="42">
        <v>105000</v>
      </c>
      <c r="D8" s="48">
        <v>0</v>
      </c>
    </row>
    <row r="9" spans="2:5" x14ac:dyDescent="0.25">
      <c r="B9" s="45">
        <f>B8+1</f>
        <v>2023</v>
      </c>
      <c r="C9" s="42">
        <f>200000+246000+1446000+5094000</f>
        <v>6986000</v>
      </c>
      <c r="D9" s="40">
        <f>'Generation plant Input'!J38</f>
        <v>18557.70750306359</v>
      </c>
      <c r="E9" s="177">
        <f>'Generation plant Input'!E51+'Generation plant Input'!E52</f>
        <v>0</v>
      </c>
    </row>
    <row r="10" spans="2:5" x14ac:dyDescent="0.25">
      <c r="B10" s="45">
        <f t="shared" ref="B10:B67" si="0">B9+1</f>
        <v>2024</v>
      </c>
      <c r="C10" s="42">
        <v>0</v>
      </c>
      <c r="D10" s="40">
        <f>'Generation plant Input'!H38</f>
        <v>222692.49003676308</v>
      </c>
    </row>
    <row r="11" spans="2:5" x14ac:dyDescent="0.25">
      <c r="B11" s="45">
        <f t="shared" si="0"/>
        <v>2025</v>
      </c>
      <c r="C11" s="42">
        <v>0</v>
      </c>
      <c r="D11" s="40">
        <f t="shared" ref="D11:D67" si="1">D10</f>
        <v>222692.49003676308</v>
      </c>
    </row>
    <row r="12" spans="2:5" x14ac:dyDescent="0.25">
      <c r="B12" s="45">
        <f t="shared" si="0"/>
        <v>2026</v>
      </c>
      <c r="C12" s="42">
        <v>0</v>
      </c>
      <c r="D12" s="40">
        <f t="shared" si="1"/>
        <v>222692.49003676308</v>
      </c>
    </row>
    <row r="13" spans="2:5" x14ac:dyDescent="0.25">
      <c r="B13" s="45">
        <f t="shared" si="0"/>
        <v>2027</v>
      </c>
      <c r="C13" s="42">
        <v>0</v>
      </c>
      <c r="D13" s="40">
        <f t="shared" si="1"/>
        <v>222692.49003676308</v>
      </c>
    </row>
    <row r="14" spans="2:5" x14ac:dyDescent="0.25">
      <c r="B14" s="45">
        <f t="shared" si="0"/>
        <v>2028</v>
      </c>
      <c r="C14" s="42">
        <v>0</v>
      </c>
      <c r="D14" s="40">
        <f t="shared" si="1"/>
        <v>222692.49003676308</v>
      </c>
    </row>
    <row r="15" spans="2:5" x14ac:dyDescent="0.25">
      <c r="B15" s="45">
        <f t="shared" si="0"/>
        <v>2029</v>
      </c>
      <c r="C15" s="42">
        <v>0</v>
      </c>
      <c r="D15" s="40">
        <f t="shared" si="1"/>
        <v>222692.49003676308</v>
      </c>
    </row>
    <row r="16" spans="2:5" x14ac:dyDescent="0.25">
      <c r="B16" s="45">
        <f t="shared" si="0"/>
        <v>2030</v>
      </c>
      <c r="C16" s="42">
        <v>0</v>
      </c>
      <c r="D16" s="40">
        <f t="shared" si="1"/>
        <v>222692.49003676308</v>
      </c>
    </row>
    <row r="17" spans="2:4" x14ac:dyDescent="0.25">
      <c r="B17" s="45">
        <f t="shared" si="0"/>
        <v>2031</v>
      </c>
      <c r="C17" s="42">
        <v>35000</v>
      </c>
      <c r="D17" s="40">
        <f t="shared" si="1"/>
        <v>222692.49003676308</v>
      </c>
    </row>
    <row r="18" spans="2:4" x14ac:dyDescent="0.25">
      <c r="B18" s="45">
        <f t="shared" si="0"/>
        <v>2032</v>
      </c>
      <c r="C18" s="42">
        <v>0</v>
      </c>
      <c r="D18" s="40">
        <f t="shared" si="1"/>
        <v>222692.49003676308</v>
      </c>
    </row>
    <row r="19" spans="2:4" x14ac:dyDescent="0.25">
      <c r="B19" s="45">
        <f t="shared" si="0"/>
        <v>2033</v>
      </c>
      <c r="C19" s="42">
        <v>0</v>
      </c>
      <c r="D19" s="40">
        <f t="shared" si="1"/>
        <v>222692.49003676308</v>
      </c>
    </row>
    <row r="20" spans="2:4" x14ac:dyDescent="0.25">
      <c r="B20" s="45">
        <f t="shared" si="0"/>
        <v>2034</v>
      </c>
      <c r="C20" s="42">
        <f>300000+25000</f>
        <v>325000</v>
      </c>
      <c r="D20" s="40">
        <f t="shared" si="1"/>
        <v>222692.49003676308</v>
      </c>
    </row>
    <row r="21" spans="2:4" x14ac:dyDescent="0.25">
      <c r="B21" s="45">
        <f t="shared" si="0"/>
        <v>2035</v>
      </c>
      <c r="C21" s="42">
        <v>0</v>
      </c>
      <c r="D21" s="40">
        <f t="shared" si="1"/>
        <v>222692.49003676308</v>
      </c>
    </row>
    <row r="22" spans="2:4" x14ac:dyDescent="0.25">
      <c r="B22" s="45">
        <f t="shared" si="0"/>
        <v>2036</v>
      </c>
      <c r="C22" s="42">
        <f>200000+50000+120000</f>
        <v>370000</v>
      </c>
      <c r="D22" s="40">
        <f t="shared" si="1"/>
        <v>222692.49003676308</v>
      </c>
    </row>
    <row r="23" spans="2:4" x14ac:dyDescent="0.25">
      <c r="B23" s="45">
        <f t="shared" si="0"/>
        <v>2037</v>
      </c>
      <c r="C23" s="42">
        <v>0</v>
      </c>
      <c r="D23" s="40">
        <f t="shared" si="1"/>
        <v>222692.49003676308</v>
      </c>
    </row>
    <row r="24" spans="2:4" x14ac:dyDescent="0.25">
      <c r="B24" s="45">
        <f t="shared" si="0"/>
        <v>2038</v>
      </c>
      <c r="C24" s="42">
        <v>0</v>
      </c>
      <c r="D24" s="40">
        <f t="shared" si="1"/>
        <v>222692.49003676308</v>
      </c>
    </row>
    <row r="25" spans="2:4" x14ac:dyDescent="0.25">
      <c r="B25" s="45">
        <f t="shared" si="0"/>
        <v>2039</v>
      </c>
      <c r="C25" s="42">
        <v>0</v>
      </c>
      <c r="D25" s="40">
        <f t="shared" si="1"/>
        <v>222692.49003676308</v>
      </c>
    </row>
    <row r="26" spans="2:4" x14ac:dyDescent="0.25">
      <c r="B26" s="45">
        <f t="shared" si="0"/>
        <v>2040</v>
      </c>
      <c r="C26" s="42">
        <v>0</v>
      </c>
      <c r="D26" s="40">
        <f t="shared" si="1"/>
        <v>222692.49003676308</v>
      </c>
    </row>
    <row r="27" spans="2:4" x14ac:dyDescent="0.25">
      <c r="B27" s="45">
        <f t="shared" si="0"/>
        <v>2041</v>
      </c>
      <c r="C27" s="42">
        <v>0</v>
      </c>
      <c r="D27" s="40">
        <f t="shared" si="1"/>
        <v>222692.49003676308</v>
      </c>
    </row>
    <row r="28" spans="2:4" x14ac:dyDescent="0.25">
      <c r="B28" s="45">
        <f t="shared" si="0"/>
        <v>2042</v>
      </c>
      <c r="C28" s="42">
        <v>0</v>
      </c>
      <c r="D28" s="40">
        <v>0</v>
      </c>
    </row>
    <row r="29" spans="2:4" x14ac:dyDescent="0.25">
      <c r="B29" s="45">
        <f t="shared" si="0"/>
        <v>2043</v>
      </c>
      <c r="C29" s="42">
        <v>0</v>
      </c>
      <c r="D29" s="40">
        <f t="shared" si="1"/>
        <v>0</v>
      </c>
    </row>
    <row r="30" spans="2:4" x14ac:dyDescent="0.25">
      <c r="B30" s="45">
        <f t="shared" si="0"/>
        <v>2044</v>
      </c>
      <c r="C30" s="42">
        <v>0</v>
      </c>
      <c r="D30" s="40">
        <f t="shared" si="1"/>
        <v>0</v>
      </c>
    </row>
    <row r="31" spans="2:4" x14ac:dyDescent="0.25">
      <c r="B31" s="45">
        <f t="shared" si="0"/>
        <v>2045</v>
      </c>
      <c r="C31" s="42">
        <v>0</v>
      </c>
      <c r="D31" s="40">
        <f t="shared" si="1"/>
        <v>0</v>
      </c>
    </row>
    <row r="32" spans="2:4" x14ac:dyDescent="0.25">
      <c r="B32" s="45">
        <f t="shared" si="0"/>
        <v>2046</v>
      </c>
      <c r="C32" s="42">
        <v>0</v>
      </c>
      <c r="D32" s="40">
        <f t="shared" si="1"/>
        <v>0</v>
      </c>
    </row>
    <row r="33" spans="2:4" x14ac:dyDescent="0.25">
      <c r="B33" s="45">
        <f t="shared" si="0"/>
        <v>2047</v>
      </c>
      <c r="C33" s="42">
        <v>0</v>
      </c>
      <c r="D33" s="40">
        <f t="shared" si="1"/>
        <v>0</v>
      </c>
    </row>
    <row r="34" spans="2:4" x14ac:dyDescent="0.25">
      <c r="B34" s="45">
        <f t="shared" si="0"/>
        <v>2048</v>
      </c>
      <c r="C34" s="42">
        <v>0</v>
      </c>
      <c r="D34" s="40">
        <f t="shared" si="1"/>
        <v>0</v>
      </c>
    </row>
    <row r="35" spans="2:4" x14ac:dyDescent="0.25">
      <c r="B35" s="45">
        <f t="shared" si="0"/>
        <v>2049</v>
      </c>
      <c r="C35" s="42">
        <v>0</v>
      </c>
      <c r="D35" s="40">
        <f t="shared" si="1"/>
        <v>0</v>
      </c>
    </row>
    <row r="36" spans="2:4" x14ac:dyDescent="0.25">
      <c r="B36" s="45">
        <f t="shared" si="0"/>
        <v>2050</v>
      </c>
      <c r="C36" s="42">
        <v>0</v>
      </c>
      <c r="D36" s="40">
        <f t="shared" si="1"/>
        <v>0</v>
      </c>
    </row>
    <row r="37" spans="2:4" x14ac:dyDescent="0.25">
      <c r="B37" s="45">
        <f t="shared" si="0"/>
        <v>2051</v>
      </c>
      <c r="C37" s="42">
        <v>0</v>
      </c>
      <c r="D37" s="40">
        <f t="shared" si="1"/>
        <v>0</v>
      </c>
    </row>
    <row r="38" spans="2:4" x14ac:dyDescent="0.25">
      <c r="B38" s="45">
        <f t="shared" si="0"/>
        <v>2052</v>
      </c>
      <c r="C38" s="42">
        <v>0</v>
      </c>
      <c r="D38" s="40">
        <f t="shared" si="1"/>
        <v>0</v>
      </c>
    </row>
    <row r="39" spans="2:4" x14ac:dyDescent="0.25">
      <c r="B39" s="45">
        <f t="shared" si="0"/>
        <v>2053</v>
      </c>
      <c r="C39" s="42">
        <v>0</v>
      </c>
      <c r="D39" s="40">
        <f t="shared" si="1"/>
        <v>0</v>
      </c>
    </row>
    <row r="40" spans="2:4" x14ac:dyDescent="0.25">
      <c r="B40" s="45">
        <f t="shared" si="0"/>
        <v>2054</v>
      </c>
      <c r="C40" s="42">
        <v>0</v>
      </c>
      <c r="D40" s="40">
        <f t="shared" si="1"/>
        <v>0</v>
      </c>
    </row>
    <row r="41" spans="2:4" x14ac:dyDescent="0.25">
      <c r="B41" s="45">
        <f t="shared" si="0"/>
        <v>2055</v>
      </c>
      <c r="C41" s="42">
        <v>0</v>
      </c>
      <c r="D41" s="40">
        <f t="shared" si="1"/>
        <v>0</v>
      </c>
    </row>
    <row r="42" spans="2:4" x14ac:dyDescent="0.25">
      <c r="B42" s="45">
        <f t="shared" si="0"/>
        <v>2056</v>
      </c>
      <c r="C42" s="42">
        <v>0</v>
      </c>
      <c r="D42" s="40">
        <f t="shared" si="1"/>
        <v>0</v>
      </c>
    </row>
    <row r="43" spans="2:4" x14ac:dyDescent="0.25">
      <c r="B43" s="45">
        <f t="shared" si="0"/>
        <v>2057</v>
      </c>
      <c r="C43" s="42">
        <v>0</v>
      </c>
      <c r="D43" s="40">
        <f t="shared" si="1"/>
        <v>0</v>
      </c>
    </row>
    <row r="44" spans="2:4" x14ac:dyDescent="0.25">
      <c r="B44" s="45">
        <f t="shared" si="0"/>
        <v>2058</v>
      </c>
      <c r="C44" s="42">
        <v>0</v>
      </c>
      <c r="D44" s="40">
        <f t="shared" si="1"/>
        <v>0</v>
      </c>
    </row>
    <row r="45" spans="2:4" x14ac:dyDescent="0.25">
      <c r="B45" s="45">
        <f t="shared" si="0"/>
        <v>2059</v>
      </c>
      <c r="C45" s="42">
        <v>0</v>
      </c>
      <c r="D45" s="40">
        <f t="shared" si="1"/>
        <v>0</v>
      </c>
    </row>
    <row r="46" spans="2:4" x14ac:dyDescent="0.25">
      <c r="B46" s="45">
        <f t="shared" si="0"/>
        <v>2060</v>
      </c>
      <c r="C46" s="42">
        <v>0</v>
      </c>
      <c r="D46" s="40">
        <f t="shared" si="1"/>
        <v>0</v>
      </c>
    </row>
    <row r="47" spans="2:4" x14ac:dyDescent="0.25">
      <c r="B47" s="45">
        <f t="shared" si="0"/>
        <v>2061</v>
      </c>
      <c r="C47" s="42">
        <v>0</v>
      </c>
      <c r="D47" s="40">
        <f t="shared" si="1"/>
        <v>0</v>
      </c>
    </row>
    <row r="48" spans="2:4" x14ac:dyDescent="0.25">
      <c r="B48" s="45">
        <f t="shared" si="0"/>
        <v>2062</v>
      </c>
      <c r="C48" s="42">
        <v>0</v>
      </c>
      <c r="D48" s="40">
        <f t="shared" si="1"/>
        <v>0</v>
      </c>
    </row>
    <row r="49" spans="2:4" x14ac:dyDescent="0.25">
      <c r="B49" s="45">
        <f t="shared" si="0"/>
        <v>2063</v>
      </c>
      <c r="C49" s="42">
        <v>0</v>
      </c>
      <c r="D49" s="40">
        <f t="shared" si="1"/>
        <v>0</v>
      </c>
    </row>
    <row r="50" spans="2:4" x14ac:dyDescent="0.25">
      <c r="B50" s="45">
        <f t="shared" si="0"/>
        <v>2064</v>
      </c>
      <c r="C50" s="42">
        <v>0</v>
      </c>
      <c r="D50" s="40">
        <f t="shared" si="1"/>
        <v>0</v>
      </c>
    </row>
    <row r="51" spans="2:4" x14ac:dyDescent="0.25">
      <c r="B51" s="45">
        <f t="shared" si="0"/>
        <v>2065</v>
      </c>
      <c r="C51" s="42">
        <v>0</v>
      </c>
      <c r="D51" s="40">
        <f t="shared" si="1"/>
        <v>0</v>
      </c>
    </row>
    <row r="52" spans="2:4" x14ac:dyDescent="0.25">
      <c r="B52" s="45">
        <f t="shared" si="0"/>
        <v>2066</v>
      </c>
      <c r="C52" s="42">
        <v>0</v>
      </c>
      <c r="D52" s="40">
        <f t="shared" si="1"/>
        <v>0</v>
      </c>
    </row>
    <row r="53" spans="2:4" x14ac:dyDescent="0.25">
      <c r="B53" s="45">
        <f t="shared" si="0"/>
        <v>2067</v>
      </c>
      <c r="C53" s="42">
        <v>0</v>
      </c>
      <c r="D53" s="40">
        <f t="shared" si="1"/>
        <v>0</v>
      </c>
    </row>
    <row r="54" spans="2:4" x14ac:dyDescent="0.25">
      <c r="B54" s="45">
        <f t="shared" si="0"/>
        <v>2068</v>
      </c>
      <c r="C54" s="42">
        <v>0</v>
      </c>
      <c r="D54" s="40">
        <f t="shared" si="1"/>
        <v>0</v>
      </c>
    </row>
    <row r="55" spans="2:4" x14ac:dyDescent="0.25">
      <c r="B55" s="45">
        <f t="shared" si="0"/>
        <v>2069</v>
      </c>
      <c r="C55" s="42">
        <v>0</v>
      </c>
      <c r="D55" s="40">
        <f t="shared" si="1"/>
        <v>0</v>
      </c>
    </row>
    <row r="56" spans="2:4" x14ac:dyDescent="0.25">
      <c r="B56" s="45">
        <f t="shared" si="0"/>
        <v>2070</v>
      </c>
      <c r="C56" s="42">
        <v>0</v>
      </c>
      <c r="D56" s="40">
        <f t="shared" si="1"/>
        <v>0</v>
      </c>
    </row>
    <row r="57" spans="2:4" x14ac:dyDescent="0.25">
      <c r="B57" s="45">
        <f t="shared" si="0"/>
        <v>2071</v>
      </c>
      <c r="C57" s="42">
        <v>0</v>
      </c>
      <c r="D57" s="40">
        <f t="shared" si="1"/>
        <v>0</v>
      </c>
    </row>
    <row r="58" spans="2:4" x14ac:dyDescent="0.25">
      <c r="B58" s="45">
        <f t="shared" si="0"/>
        <v>2072</v>
      </c>
      <c r="C58" s="42">
        <v>0</v>
      </c>
      <c r="D58" s="40">
        <f t="shared" si="1"/>
        <v>0</v>
      </c>
    </row>
    <row r="59" spans="2:4" x14ac:dyDescent="0.25">
      <c r="B59" s="45">
        <f t="shared" si="0"/>
        <v>2073</v>
      </c>
      <c r="C59" s="42">
        <v>0</v>
      </c>
      <c r="D59" s="40">
        <f t="shared" si="1"/>
        <v>0</v>
      </c>
    </row>
    <row r="60" spans="2:4" x14ac:dyDescent="0.25">
      <c r="B60" s="45">
        <f t="shared" si="0"/>
        <v>2074</v>
      </c>
      <c r="C60" s="42">
        <v>0</v>
      </c>
      <c r="D60" s="40">
        <f t="shared" si="1"/>
        <v>0</v>
      </c>
    </row>
    <row r="61" spans="2:4" x14ac:dyDescent="0.25">
      <c r="B61" s="45">
        <f t="shared" si="0"/>
        <v>2075</v>
      </c>
      <c r="C61" s="42">
        <v>0</v>
      </c>
      <c r="D61" s="40">
        <f t="shared" si="1"/>
        <v>0</v>
      </c>
    </row>
    <row r="62" spans="2:4" x14ac:dyDescent="0.25">
      <c r="B62" s="45">
        <f t="shared" si="0"/>
        <v>2076</v>
      </c>
      <c r="C62" s="42">
        <v>0</v>
      </c>
      <c r="D62" s="40">
        <f t="shared" si="1"/>
        <v>0</v>
      </c>
    </row>
    <row r="63" spans="2:4" x14ac:dyDescent="0.25">
      <c r="B63" s="45">
        <f t="shared" si="0"/>
        <v>2077</v>
      </c>
      <c r="C63" s="42">
        <v>0</v>
      </c>
      <c r="D63" s="40">
        <f t="shared" si="1"/>
        <v>0</v>
      </c>
    </row>
    <row r="64" spans="2:4" x14ac:dyDescent="0.25">
      <c r="B64" s="45">
        <f t="shared" si="0"/>
        <v>2078</v>
      </c>
      <c r="C64" s="42">
        <v>0</v>
      </c>
      <c r="D64" s="40">
        <f t="shared" si="1"/>
        <v>0</v>
      </c>
    </row>
    <row r="65" spans="2:4" x14ac:dyDescent="0.25">
      <c r="B65" s="45">
        <f t="shared" si="0"/>
        <v>2079</v>
      </c>
      <c r="C65" s="42">
        <v>0</v>
      </c>
      <c r="D65" s="40">
        <f t="shared" si="1"/>
        <v>0</v>
      </c>
    </row>
    <row r="66" spans="2:4" x14ac:dyDescent="0.25">
      <c r="B66" s="45">
        <f t="shared" si="0"/>
        <v>2080</v>
      </c>
      <c r="C66" s="42">
        <v>0</v>
      </c>
      <c r="D66" s="40">
        <f t="shared" si="1"/>
        <v>0</v>
      </c>
    </row>
    <row r="67" spans="2:4" x14ac:dyDescent="0.25">
      <c r="B67" s="45">
        <f t="shared" si="0"/>
        <v>2081</v>
      </c>
      <c r="C67" s="42">
        <v>0</v>
      </c>
      <c r="D67" s="40">
        <f t="shared" si="1"/>
        <v>0</v>
      </c>
    </row>
    <row r="68" spans="2:4" x14ac:dyDescent="0.25">
      <c r="B68" s="45">
        <f t="shared" ref="B68:B87" si="2">B67+1</f>
        <v>2082</v>
      </c>
      <c r="C68" s="42">
        <v>0</v>
      </c>
      <c r="D68" s="40">
        <f t="shared" ref="D68:D87" si="3">D67</f>
        <v>0</v>
      </c>
    </row>
    <row r="69" spans="2:4" x14ac:dyDescent="0.25">
      <c r="B69" s="45">
        <f t="shared" si="2"/>
        <v>2083</v>
      </c>
      <c r="C69" s="42">
        <v>0</v>
      </c>
      <c r="D69" s="40">
        <f t="shared" si="3"/>
        <v>0</v>
      </c>
    </row>
    <row r="70" spans="2:4" x14ac:dyDescent="0.25">
      <c r="B70" s="45">
        <f t="shared" si="2"/>
        <v>2084</v>
      </c>
      <c r="C70" s="42">
        <v>0</v>
      </c>
      <c r="D70" s="40">
        <f t="shared" si="3"/>
        <v>0</v>
      </c>
    </row>
    <row r="71" spans="2:4" x14ac:dyDescent="0.25">
      <c r="B71" s="45">
        <f t="shared" si="2"/>
        <v>2085</v>
      </c>
      <c r="C71" s="42">
        <v>0</v>
      </c>
      <c r="D71" s="40">
        <f t="shared" si="3"/>
        <v>0</v>
      </c>
    </row>
    <row r="72" spans="2:4" x14ac:dyDescent="0.25">
      <c r="B72" s="45">
        <f t="shared" si="2"/>
        <v>2086</v>
      </c>
      <c r="C72" s="42">
        <v>0</v>
      </c>
      <c r="D72" s="40">
        <f t="shared" si="3"/>
        <v>0</v>
      </c>
    </row>
    <row r="73" spans="2:4" x14ac:dyDescent="0.25">
      <c r="B73" s="45">
        <f t="shared" si="2"/>
        <v>2087</v>
      </c>
      <c r="C73" s="42">
        <v>0</v>
      </c>
      <c r="D73" s="40">
        <f t="shared" si="3"/>
        <v>0</v>
      </c>
    </row>
    <row r="74" spans="2:4" x14ac:dyDescent="0.25">
      <c r="B74" s="45">
        <f t="shared" si="2"/>
        <v>2088</v>
      </c>
      <c r="C74" s="42">
        <v>0</v>
      </c>
      <c r="D74" s="40">
        <f t="shared" si="3"/>
        <v>0</v>
      </c>
    </row>
    <row r="75" spans="2:4" x14ac:dyDescent="0.25">
      <c r="B75" s="45">
        <f t="shared" si="2"/>
        <v>2089</v>
      </c>
      <c r="C75" s="42">
        <v>0</v>
      </c>
      <c r="D75" s="40">
        <f t="shared" si="3"/>
        <v>0</v>
      </c>
    </row>
    <row r="76" spans="2:4" x14ac:dyDescent="0.25">
      <c r="B76" s="45">
        <f t="shared" si="2"/>
        <v>2090</v>
      </c>
      <c r="C76" s="42">
        <v>0</v>
      </c>
      <c r="D76" s="40">
        <f t="shared" si="3"/>
        <v>0</v>
      </c>
    </row>
    <row r="77" spans="2:4" x14ac:dyDescent="0.25">
      <c r="B77" s="45">
        <f t="shared" si="2"/>
        <v>2091</v>
      </c>
      <c r="C77" s="42">
        <v>0</v>
      </c>
      <c r="D77" s="40">
        <f t="shared" si="3"/>
        <v>0</v>
      </c>
    </row>
    <row r="78" spans="2:4" x14ac:dyDescent="0.25">
      <c r="B78" s="45">
        <f t="shared" si="2"/>
        <v>2092</v>
      </c>
      <c r="C78" s="42">
        <v>0</v>
      </c>
      <c r="D78" s="40">
        <f t="shared" si="3"/>
        <v>0</v>
      </c>
    </row>
    <row r="79" spans="2:4" x14ac:dyDescent="0.25">
      <c r="B79" s="45">
        <f t="shared" si="2"/>
        <v>2093</v>
      </c>
      <c r="C79" s="42">
        <v>0</v>
      </c>
      <c r="D79" s="40">
        <f t="shared" si="3"/>
        <v>0</v>
      </c>
    </row>
    <row r="80" spans="2:4" x14ac:dyDescent="0.25">
      <c r="B80" s="45">
        <f t="shared" si="2"/>
        <v>2094</v>
      </c>
      <c r="C80" s="42">
        <v>0</v>
      </c>
      <c r="D80" s="40">
        <f t="shared" si="3"/>
        <v>0</v>
      </c>
    </row>
    <row r="81" spans="2:4" x14ac:dyDescent="0.25">
      <c r="B81" s="45">
        <f t="shared" si="2"/>
        <v>2095</v>
      </c>
      <c r="C81" s="42">
        <v>0</v>
      </c>
      <c r="D81" s="40">
        <f t="shared" si="3"/>
        <v>0</v>
      </c>
    </row>
    <row r="82" spans="2:4" x14ac:dyDescent="0.25">
      <c r="B82" s="45">
        <f t="shared" si="2"/>
        <v>2096</v>
      </c>
      <c r="C82" s="42">
        <v>0</v>
      </c>
      <c r="D82" s="40">
        <f t="shared" si="3"/>
        <v>0</v>
      </c>
    </row>
    <row r="83" spans="2:4" x14ac:dyDescent="0.25">
      <c r="B83" s="45">
        <f t="shared" si="2"/>
        <v>2097</v>
      </c>
      <c r="C83" s="42">
        <v>0</v>
      </c>
      <c r="D83" s="40">
        <f t="shared" si="3"/>
        <v>0</v>
      </c>
    </row>
    <row r="84" spans="2:4" x14ac:dyDescent="0.25">
      <c r="B84" s="45">
        <f t="shared" si="2"/>
        <v>2098</v>
      </c>
      <c r="C84" s="42">
        <v>0</v>
      </c>
      <c r="D84" s="40">
        <f t="shared" si="3"/>
        <v>0</v>
      </c>
    </row>
    <row r="85" spans="2:4" x14ac:dyDescent="0.25">
      <c r="B85" s="45">
        <f t="shared" si="2"/>
        <v>2099</v>
      </c>
      <c r="C85" s="42">
        <v>0</v>
      </c>
      <c r="D85" s="40">
        <f t="shared" si="3"/>
        <v>0</v>
      </c>
    </row>
    <row r="86" spans="2:4" x14ac:dyDescent="0.25">
      <c r="B86" s="45">
        <f t="shared" si="2"/>
        <v>2100</v>
      </c>
      <c r="C86" s="42">
        <v>0</v>
      </c>
      <c r="D86" s="40">
        <f t="shared" si="3"/>
        <v>0</v>
      </c>
    </row>
    <row r="87" spans="2:4" x14ac:dyDescent="0.25">
      <c r="B87" s="45">
        <f t="shared" si="2"/>
        <v>2101</v>
      </c>
      <c r="C87" s="42">
        <v>0</v>
      </c>
      <c r="D87" s="40">
        <f t="shared" si="3"/>
        <v>0</v>
      </c>
    </row>
    <row r="88" spans="2:4" x14ac:dyDescent="0.25">
      <c r="B88" s="45">
        <f>B87+1</f>
        <v>2102</v>
      </c>
      <c r="C88" s="42">
        <v>0</v>
      </c>
      <c r="D88" s="40">
        <f>D87</f>
        <v>0</v>
      </c>
    </row>
  </sheetData>
  <mergeCells count="2">
    <mergeCell ref="B2:D2"/>
    <mergeCell ref="E4:E5"/>
  </mergeCells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M88"/>
  <sheetViews>
    <sheetView tabSelected="1" zoomScaleNormal="100" workbookViewId="0">
      <selection activeCell="B25" sqref="B25"/>
    </sheetView>
  </sheetViews>
  <sheetFormatPr defaultRowHeight="15" x14ac:dyDescent="0.25"/>
  <cols>
    <col min="1" max="1" width="2.28515625" style="38" customWidth="1"/>
    <col min="2" max="2" width="17.85546875" style="38" customWidth="1"/>
    <col min="3" max="3" width="19.85546875" style="38" customWidth="1"/>
    <col min="4" max="4" width="13.5703125" style="38" customWidth="1"/>
    <col min="5" max="5" width="14.85546875" style="38" customWidth="1"/>
    <col min="6" max="6" width="14.42578125" style="38" customWidth="1"/>
    <col min="7" max="7" width="14.7109375" style="38" customWidth="1"/>
    <col min="8" max="8" width="14.85546875" style="38" customWidth="1"/>
    <col min="9" max="9" width="9.140625" style="38"/>
    <col min="10" max="10" width="19.140625" style="38" customWidth="1"/>
    <col min="11" max="11" width="15.7109375" style="38" customWidth="1"/>
    <col min="12" max="12" width="18.140625" style="38" customWidth="1"/>
    <col min="13" max="13" width="15.42578125" style="38" customWidth="1"/>
    <col min="14" max="15" width="16.42578125" style="38" customWidth="1"/>
    <col min="16" max="16" width="12.28515625" style="38" bestFit="1" customWidth="1"/>
    <col min="17" max="21" width="9.140625" style="38"/>
    <col min="22" max="22" width="17.28515625" style="38" customWidth="1"/>
    <col min="23" max="16384" width="9.140625" style="38"/>
  </cols>
  <sheetData>
    <row r="1" spans="2:13" x14ac:dyDescent="0.25">
      <c r="B1" s="5" t="s">
        <v>81</v>
      </c>
    </row>
    <row r="2" spans="2:13" x14ac:dyDescent="0.25">
      <c r="B2" s="38" t="s">
        <v>80</v>
      </c>
      <c r="J2" s="176"/>
      <c r="K2" s="176"/>
      <c r="L2" s="176"/>
      <c r="M2" s="176"/>
    </row>
    <row r="3" spans="2:13" x14ac:dyDescent="0.25">
      <c r="J3" s="191"/>
      <c r="K3" s="191"/>
      <c r="L3" s="191"/>
      <c r="M3" s="176"/>
    </row>
    <row r="4" spans="2:13" x14ac:dyDescent="0.25">
      <c r="B4" s="193" t="s">
        <v>22</v>
      </c>
      <c r="C4" s="194"/>
      <c r="D4" s="194"/>
      <c r="E4" s="195"/>
      <c r="J4" s="173"/>
      <c r="K4" s="173"/>
      <c r="L4" s="173"/>
      <c r="M4" s="176"/>
    </row>
    <row r="5" spans="2:13" x14ac:dyDescent="0.25">
      <c r="B5" s="76" t="s">
        <v>23</v>
      </c>
      <c r="C5" s="77"/>
      <c r="D5" s="156">
        <v>27.55</v>
      </c>
      <c r="E5" s="79" t="s">
        <v>24</v>
      </c>
      <c r="F5" s="38" t="s">
        <v>90</v>
      </c>
      <c r="J5" s="163"/>
      <c r="K5" s="164"/>
      <c r="L5" s="163"/>
      <c r="M5" s="176"/>
    </row>
    <row r="6" spans="2:13" x14ac:dyDescent="0.25">
      <c r="B6" s="76" t="s">
        <v>25</v>
      </c>
      <c r="C6" s="77"/>
      <c r="D6" s="80">
        <v>0</v>
      </c>
      <c r="E6" s="79" t="s">
        <v>24</v>
      </c>
      <c r="J6" s="163"/>
      <c r="K6" s="164"/>
      <c r="L6" s="163"/>
      <c r="M6" s="176"/>
    </row>
    <row r="7" spans="2:13" x14ac:dyDescent="0.25">
      <c r="B7" s="76" t="s">
        <v>26</v>
      </c>
      <c r="C7" s="77"/>
      <c r="D7" s="80">
        <f>D6+D5</f>
        <v>27.55</v>
      </c>
      <c r="E7" s="79" t="s">
        <v>24</v>
      </c>
      <c r="J7" s="163"/>
      <c r="K7" s="164"/>
      <c r="L7" s="163"/>
      <c r="M7" s="176"/>
    </row>
    <row r="8" spans="2:13" ht="15" customHeight="1" x14ac:dyDescent="0.25">
      <c r="B8" s="76" t="s">
        <v>27</v>
      </c>
      <c r="C8" s="77"/>
      <c r="D8" s="78">
        <f>439.1</f>
        <v>439.1</v>
      </c>
      <c r="E8" s="79" t="s">
        <v>24</v>
      </c>
      <c r="F8" s="81"/>
      <c r="J8" s="163"/>
      <c r="K8" s="163"/>
      <c r="L8" s="163"/>
      <c r="M8" s="176"/>
    </row>
    <row r="9" spans="2:13" x14ac:dyDescent="0.25">
      <c r="B9" s="76" t="s">
        <v>37</v>
      </c>
      <c r="C9" s="77"/>
      <c r="D9" s="83">
        <v>6.31</v>
      </c>
      <c r="E9" s="79" t="s">
        <v>39</v>
      </c>
      <c r="F9" s="38" t="s">
        <v>38</v>
      </c>
      <c r="J9" s="191"/>
      <c r="K9" s="191"/>
      <c r="L9" s="191"/>
      <c r="M9" s="176"/>
    </row>
    <row r="10" spans="2:13" x14ac:dyDescent="0.25">
      <c r="B10" s="76" t="s">
        <v>25</v>
      </c>
      <c r="C10" s="77"/>
      <c r="D10" s="80">
        <v>0</v>
      </c>
      <c r="E10" s="79" t="s">
        <v>39</v>
      </c>
      <c r="J10" s="173"/>
      <c r="K10" s="173"/>
      <c r="L10" s="173"/>
      <c r="M10" s="176"/>
    </row>
    <row r="11" spans="2:13" x14ac:dyDescent="0.25">
      <c r="B11" s="76" t="s">
        <v>26</v>
      </c>
      <c r="C11" s="77"/>
      <c r="D11" s="83">
        <v>6.31</v>
      </c>
      <c r="E11" s="87" t="s">
        <v>39</v>
      </c>
      <c r="F11" s="38" t="s">
        <v>38</v>
      </c>
      <c r="J11" s="163"/>
      <c r="K11" s="164"/>
      <c r="L11" s="163"/>
      <c r="M11" s="176"/>
    </row>
    <row r="12" spans="2:13" x14ac:dyDescent="0.25">
      <c r="B12" s="76"/>
      <c r="C12" s="77"/>
      <c r="D12" s="83"/>
      <c r="E12" s="87"/>
      <c r="J12" s="163"/>
      <c r="K12" s="164"/>
      <c r="L12" s="163"/>
      <c r="M12" s="176"/>
    </row>
    <row r="13" spans="2:13" x14ac:dyDescent="0.25">
      <c r="B13" s="76" t="s">
        <v>134</v>
      </c>
      <c r="C13" s="77"/>
      <c r="D13" s="83">
        <v>2.88</v>
      </c>
      <c r="E13" s="79" t="s">
        <v>24</v>
      </c>
      <c r="F13" s="180"/>
      <c r="J13" s="163"/>
      <c r="K13" s="164"/>
      <c r="L13" s="163"/>
      <c r="M13" s="176"/>
    </row>
    <row r="14" spans="2:13" x14ac:dyDescent="0.25">
      <c r="B14" s="76"/>
      <c r="C14" s="77"/>
      <c r="D14" s="83"/>
      <c r="E14" s="87"/>
      <c r="J14" s="163"/>
      <c r="K14" s="164"/>
      <c r="L14" s="163"/>
      <c r="M14" s="176"/>
    </row>
    <row r="15" spans="2:13" x14ac:dyDescent="0.25">
      <c r="B15" s="88" t="s">
        <v>31</v>
      </c>
      <c r="C15" s="89"/>
      <c r="D15" s="185" t="s">
        <v>86</v>
      </c>
      <c r="E15" s="186"/>
      <c r="F15" s="81"/>
      <c r="J15" s="163"/>
      <c r="K15" s="164"/>
      <c r="L15" s="163"/>
      <c r="M15" s="176"/>
    </row>
    <row r="16" spans="2:13" x14ac:dyDescent="0.25">
      <c r="B16" s="88" t="s">
        <v>32</v>
      </c>
      <c r="C16" s="89"/>
      <c r="D16" s="187"/>
      <c r="E16" s="188"/>
      <c r="F16" s="81"/>
      <c r="J16" s="176"/>
      <c r="K16" s="176"/>
      <c r="L16" s="176"/>
      <c r="M16" s="176"/>
    </row>
    <row r="17" spans="2:13" x14ac:dyDescent="0.25">
      <c r="B17" s="88" t="s">
        <v>33</v>
      </c>
      <c r="C17" s="89"/>
      <c r="D17" s="189"/>
      <c r="E17" s="190"/>
      <c r="F17" s="81"/>
      <c r="J17" s="176"/>
      <c r="K17" s="176"/>
      <c r="L17" s="176"/>
      <c r="M17" s="176"/>
    </row>
    <row r="18" spans="2:13" x14ac:dyDescent="0.25">
      <c r="J18" s="176"/>
      <c r="K18" s="176"/>
      <c r="L18" s="176"/>
      <c r="M18" s="176"/>
    </row>
    <row r="19" spans="2:13" x14ac:dyDescent="0.25">
      <c r="J19" s="176"/>
      <c r="K19" s="176"/>
      <c r="L19" s="176"/>
      <c r="M19" s="176"/>
    </row>
    <row r="20" spans="2:13" x14ac:dyDescent="0.25">
      <c r="B20" s="5" t="s">
        <v>13</v>
      </c>
    </row>
    <row r="21" spans="2:13" x14ac:dyDescent="0.25">
      <c r="B21" s="38" t="s">
        <v>79</v>
      </c>
    </row>
    <row r="22" spans="2:13" x14ac:dyDescent="0.25">
      <c r="B22" s="38" t="s">
        <v>35</v>
      </c>
    </row>
    <row r="23" spans="2:13" x14ac:dyDescent="0.25">
      <c r="B23" s="38" t="s">
        <v>36</v>
      </c>
    </row>
    <row r="24" spans="2:13" x14ac:dyDescent="0.25">
      <c r="B24" s="38" t="s">
        <v>46</v>
      </c>
    </row>
    <row r="25" spans="2:13" x14ac:dyDescent="0.25">
      <c r="B25" s="38" t="s">
        <v>141</v>
      </c>
    </row>
    <row r="27" spans="2:13" x14ac:dyDescent="0.25">
      <c r="B27" s="105" t="s">
        <v>91</v>
      </c>
      <c r="C27" s="105"/>
      <c r="D27" s="105"/>
      <c r="E27" s="105"/>
      <c r="F27" s="105"/>
      <c r="G27" s="53"/>
    </row>
    <row r="28" spans="2:13" ht="15.75" thickBot="1" x14ac:dyDescent="0.3">
      <c r="B28" s="104"/>
      <c r="C28" s="104"/>
      <c r="D28" s="104"/>
      <c r="E28" s="104"/>
      <c r="F28" s="104"/>
      <c r="G28" s="53"/>
    </row>
    <row r="29" spans="2:13" x14ac:dyDescent="0.25">
      <c r="B29" s="54"/>
      <c r="C29" s="55" t="s">
        <v>28</v>
      </c>
      <c r="D29" s="55" t="s">
        <v>29</v>
      </c>
      <c r="E29" s="55" t="s">
        <v>30</v>
      </c>
      <c r="F29" s="56" t="s">
        <v>5</v>
      </c>
      <c r="G29" s="196" t="s">
        <v>75</v>
      </c>
      <c r="H29" s="82"/>
    </row>
    <row r="30" spans="2:13" x14ac:dyDescent="0.25">
      <c r="B30" s="57"/>
      <c r="C30" s="58">
        <v>51212</v>
      </c>
      <c r="D30" s="58">
        <v>51201</v>
      </c>
      <c r="E30" s="58" t="s">
        <v>29</v>
      </c>
      <c r="F30" s="57"/>
      <c r="G30" s="197"/>
      <c r="H30" s="84" t="s">
        <v>92</v>
      </c>
    </row>
    <row r="31" spans="2:13" x14ac:dyDescent="0.25">
      <c r="B31" s="59">
        <v>2016</v>
      </c>
      <c r="C31" s="60">
        <v>65345.590000000026</v>
      </c>
      <c r="D31" s="61">
        <v>772213.78</v>
      </c>
      <c r="E31" s="62">
        <f t="shared" ref="E31:E34" si="0">$D$5/$D$8*D31</f>
        <v>48450.215529492147</v>
      </c>
      <c r="F31" s="63">
        <f>C31+E31</f>
        <v>113795.80552949218</v>
      </c>
      <c r="G31" s="64">
        <f>D82</f>
        <v>1.1108970317081677</v>
      </c>
      <c r="H31" s="86">
        <f>F31*G31:G31</f>
        <v>126415.42258355276</v>
      </c>
    </row>
    <row r="32" spans="2:13" x14ac:dyDescent="0.25">
      <c r="B32" s="59">
        <v>2017</v>
      </c>
      <c r="C32" s="60">
        <v>75353.179999999935</v>
      </c>
      <c r="D32" s="61">
        <v>927212.06999999937</v>
      </c>
      <c r="E32" s="62">
        <f t="shared" si="0"/>
        <v>58175.113934183522</v>
      </c>
      <c r="F32" s="63">
        <f>C32+E32</f>
        <v>133528.29393418346</v>
      </c>
      <c r="G32" s="64">
        <f>D83</f>
        <v>1.0831094156812902</v>
      </c>
      <c r="H32" s="86">
        <f t="shared" ref="H32:H35" si="1">F32*G32:G32</f>
        <v>144625.752419973</v>
      </c>
    </row>
    <row r="33" spans="2:10" x14ac:dyDescent="0.25">
      <c r="B33" s="59">
        <v>2018</v>
      </c>
      <c r="C33" s="60">
        <v>91863.409999999989</v>
      </c>
      <c r="D33" s="61">
        <v>673257.95000000007</v>
      </c>
      <c r="E33" s="62">
        <f t="shared" si="0"/>
        <v>42241.531593031206</v>
      </c>
      <c r="F33" s="63">
        <f>C33+E33</f>
        <v>134104.9415930312</v>
      </c>
      <c r="G33" s="64">
        <f>D84</f>
        <v>1.0643737165483935</v>
      </c>
      <c r="H33" s="86">
        <f t="shared" si="1"/>
        <v>142737.77509087985</v>
      </c>
    </row>
    <row r="34" spans="2:10" x14ac:dyDescent="0.25">
      <c r="B34" s="59">
        <v>2019</v>
      </c>
      <c r="C34" s="60">
        <v>95096.069999999963</v>
      </c>
      <c r="D34" s="90">
        <v>994294.9100000005</v>
      </c>
      <c r="E34" s="62">
        <f t="shared" si="0"/>
        <v>62384.023617626997</v>
      </c>
      <c r="F34" s="63">
        <f>C34+E34</f>
        <v>157480.09361762696</v>
      </c>
      <c r="G34" s="64">
        <f>D85</f>
        <v>1.0468954991111588</v>
      </c>
      <c r="H34" s="86">
        <f t="shared" si="1"/>
        <v>164865.2012078976</v>
      </c>
    </row>
    <row r="35" spans="2:10" ht="15.75" thickBot="1" x14ac:dyDescent="0.3">
      <c r="B35" s="54">
        <v>2020</v>
      </c>
      <c r="C35" s="65">
        <v>87203.680000000051</v>
      </c>
      <c r="D35" s="91">
        <v>889714.91000000027</v>
      </c>
      <c r="E35" s="66">
        <f>$D$5/$D$8*D35</f>
        <v>55822.468163288562</v>
      </c>
      <c r="F35" s="67">
        <f>(C35+E35)*1.02</f>
        <v>145886.67112655437</v>
      </c>
      <c r="G35" s="64">
        <f>D86</f>
        <v>1.0410361529859335</v>
      </c>
      <c r="H35" s="86">
        <f t="shared" si="1"/>
        <v>151873.29888151222</v>
      </c>
    </row>
    <row r="36" spans="2:10" ht="15.75" thickBot="1" x14ac:dyDescent="0.3">
      <c r="B36" s="68" t="s">
        <v>34</v>
      </c>
      <c r="C36" s="69">
        <f>AVERAGE(C31:C35)</f>
        <v>82972.385999999984</v>
      </c>
      <c r="D36" s="70">
        <f t="shared" ref="D36:E36" si="2">AVERAGE(D31:D35)</f>
        <v>851338.72400000005</v>
      </c>
      <c r="E36" s="71">
        <f t="shared" si="2"/>
        <v>53414.670567524481</v>
      </c>
      <c r="F36" s="72">
        <f>E36+C36</f>
        <v>136387.05656752447</v>
      </c>
      <c r="G36" s="73"/>
      <c r="H36" s="92">
        <f>AVERAGE(H31:H35)</f>
        <v>146103.49003676308</v>
      </c>
    </row>
    <row r="37" spans="2:10" ht="15.75" thickBot="1" x14ac:dyDescent="0.3">
      <c r="B37" s="74">
        <v>2019</v>
      </c>
      <c r="C37" s="74"/>
      <c r="D37" s="74"/>
      <c r="E37" s="106"/>
      <c r="F37" s="107" t="s">
        <v>93</v>
      </c>
      <c r="G37" s="75"/>
      <c r="H37" s="93">
        <f>E65</f>
        <v>76589</v>
      </c>
      <c r="I37" s="47"/>
      <c r="J37" s="171" t="s">
        <v>118</v>
      </c>
    </row>
    <row r="38" spans="2:10" ht="15.75" thickBot="1" x14ac:dyDescent="0.3">
      <c r="F38" s="38" t="s">
        <v>94</v>
      </c>
      <c r="G38" s="81"/>
      <c r="H38" s="94">
        <f>H36+H37</f>
        <v>222692.49003676308</v>
      </c>
      <c r="J38" s="172">
        <f>H38/12</f>
        <v>18557.70750306359</v>
      </c>
    </row>
    <row r="40" spans="2:10" x14ac:dyDescent="0.25">
      <c r="B40" s="5" t="s">
        <v>133</v>
      </c>
    </row>
    <row r="41" spans="2:10" x14ac:dyDescent="0.25">
      <c r="B41" s="38" t="s">
        <v>123</v>
      </c>
      <c r="E41" s="40">
        <v>12800</v>
      </c>
      <c r="F41" s="38" t="s">
        <v>128</v>
      </c>
    </row>
    <row r="43" spans="2:10" x14ac:dyDescent="0.25">
      <c r="B43" s="38" t="s">
        <v>124</v>
      </c>
      <c r="E43" s="175" t="s">
        <v>45</v>
      </c>
    </row>
    <row r="44" spans="2:10" x14ac:dyDescent="0.25">
      <c r="C44" s="38" t="s">
        <v>120</v>
      </c>
      <c r="E44" s="96">
        <f>'Avoided Supply Costs'!D11</f>
        <v>23.711954658441069</v>
      </c>
      <c r="F44" s="38" t="s">
        <v>119</v>
      </c>
    </row>
    <row r="45" spans="2:10" x14ac:dyDescent="0.25">
      <c r="B45" s="5"/>
      <c r="C45" s="38" t="s">
        <v>121</v>
      </c>
      <c r="E45" s="96">
        <f>'Avoided Supply Costs'!H10</f>
        <v>1.3579743421834811</v>
      </c>
      <c r="F45" s="38" t="s">
        <v>122</v>
      </c>
    </row>
    <row r="46" spans="2:10" x14ac:dyDescent="0.25">
      <c r="C46" s="38" t="s">
        <v>125</v>
      </c>
      <c r="E46" s="38">
        <v>0</v>
      </c>
      <c r="F46" s="38" t="s">
        <v>126</v>
      </c>
    </row>
    <row r="48" spans="2:10" x14ac:dyDescent="0.25">
      <c r="B48" s="38" t="s">
        <v>127</v>
      </c>
      <c r="E48" s="5" t="s">
        <v>139</v>
      </c>
      <c r="F48" s="38" t="s">
        <v>129</v>
      </c>
    </row>
    <row r="50" spans="2:9" x14ac:dyDescent="0.25">
      <c r="B50" s="38" t="s">
        <v>132</v>
      </c>
    </row>
    <row r="51" spans="2:9" x14ac:dyDescent="0.25">
      <c r="C51" s="38" t="s">
        <v>130</v>
      </c>
      <c r="E51" s="177">
        <f>IF(E48="Y",E41*E44,0)</f>
        <v>0</v>
      </c>
    </row>
    <row r="52" spans="2:9" x14ac:dyDescent="0.25">
      <c r="C52" s="38" t="s">
        <v>131</v>
      </c>
      <c r="E52" s="177">
        <f>IF(E48="Y",E41*E45,0)</f>
        <v>0</v>
      </c>
      <c r="G52" s="178"/>
      <c r="H52" s="179"/>
    </row>
    <row r="53" spans="2:9" x14ac:dyDescent="0.25">
      <c r="E53" s="177"/>
    </row>
    <row r="55" spans="2:9" x14ac:dyDescent="0.25">
      <c r="B55" s="5" t="s">
        <v>95</v>
      </c>
    </row>
    <row r="56" spans="2:9" x14ac:dyDescent="0.25">
      <c r="B56" s="38" t="s">
        <v>96</v>
      </c>
      <c r="E56" s="38">
        <v>2.68</v>
      </c>
    </row>
    <row r="57" spans="2:9" x14ac:dyDescent="0.25">
      <c r="B57" s="192" t="s">
        <v>97</v>
      </c>
      <c r="C57" s="192"/>
      <c r="D57" s="192"/>
      <c r="I57" s="95"/>
    </row>
    <row r="58" spans="2:9" x14ac:dyDescent="0.25">
      <c r="H58" s="96"/>
    </row>
    <row r="59" spans="2:9" x14ac:dyDescent="0.25">
      <c r="B59" s="38" t="s">
        <v>84</v>
      </c>
      <c r="C59" s="99">
        <v>1.7399999999999999E-2</v>
      </c>
      <c r="E59" s="100">
        <f>E56*(1+C59)</f>
        <v>2.7266320000000004</v>
      </c>
      <c r="H59" s="96"/>
    </row>
    <row r="60" spans="2:9" x14ac:dyDescent="0.25">
      <c r="B60" s="38" t="s">
        <v>82</v>
      </c>
      <c r="C60" s="99">
        <v>2.0799999999999999E-2</v>
      </c>
      <c r="E60" s="100">
        <f>E59*(1+C60)</f>
        <v>2.7833459456000003</v>
      </c>
    </row>
    <row r="62" spans="2:9" x14ac:dyDescent="0.25">
      <c r="B62" s="38" t="s">
        <v>83</v>
      </c>
      <c r="E62" s="96">
        <f>ROUND(E60,2)</f>
        <v>2.78</v>
      </c>
      <c r="F62" s="38" t="s">
        <v>45</v>
      </c>
    </row>
    <row r="63" spans="2:9" x14ac:dyDescent="0.25">
      <c r="B63" s="38" t="s">
        <v>69</v>
      </c>
      <c r="E63" s="102">
        <f>D7*1000</f>
        <v>27550</v>
      </c>
    </row>
    <row r="65" spans="2:8" x14ac:dyDescent="0.25">
      <c r="B65" s="38" t="s">
        <v>85</v>
      </c>
      <c r="E65" s="96">
        <f>E63*E62</f>
        <v>76589</v>
      </c>
    </row>
    <row r="67" spans="2:8" x14ac:dyDescent="0.25">
      <c r="B67" s="38" t="s">
        <v>98</v>
      </c>
    </row>
    <row r="68" spans="2:8" x14ac:dyDescent="0.25">
      <c r="B68" s="38" t="s">
        <v>99</v>
      </c>
    </row>
    <row r="70" spans="2:8" x14ac:dyDescent="0.25">
      <c r="B70" s="5" t="s">
        <v>100</v>
      </c>
      <c r="C70" s="108"/>
      <c r="D70" s="108"/>
    </row>
    <row r="71" spans="2:8" x14ac:dyDescent="0.25">
      <c r="B71" s="108"/>
      <c r="C71" s="108"/>
      <c r="D71" s="108"/>
    </row>
    <row r="72" spans="2:8" x14ac:dyDescent="0.25">
      <c r="B72" s="184" t="s">
        <v>76</v>
      </c>
      <c r="C72" s="184"/>
      <c r="D72" s="184"/>
    </row>
    <row r="73" spans="2:8" x14ac:dyDescent="0.25">
      <c r="B73" s="184"/>
      <c r="C73" s="184"/>
      <c r="D73" s="184"/>
      <c r="E73" s="97"/>
      <c r="F73" s="97"/>
      <c r="G73" s="97"/>
      <c r="H73" s="97"/>
    </row>
    <row r="74" spans="2:8" x14ac:dyDescent="0.25">
      <c r="B74" s="184"/>
      <c r="C74" s="184"/>
      <c r="D74" s="184"/>
      <c r="E74" s="103"/>
      <c r="F74" s="103"/>
      <c r="G74" s="103"/>
      <c r="H74" s="103"/>
    </row>
    <row r="75" spans="2:8" x14ac:dyDescent="0.25">
      <c r="C75" s="50" t="s">
        <v>20</v>
      </c>
      <c r="D75" s="38" t="s">
        <v>75</v>
      </c>
      <c r="E75" s="103"/>
      <c r="F75" s="103"/>
      <c r="G75" s="103"/>
      <c r="H75" s="103"/>
    </row>
    <row r="76" spans="2:8" x14ac:dyDescent="0.25">
      <c r="B76" s="38">
        <v>2010</v>
      </c>
      <c r="C76" s="85">
        <v>0.95701655424999987</v>
      </c>
      <c r="D76" s="38">
        <f t="shared" ref="D76:D88" si="3">$C$88/C76</f>
        <v>1.202323507247733</v>
      </c>
      <c r="E76" s="103"/>
      <c r="F76" s="103"/>
      <c r="G76" s="103"/>
      <c r="H76" s="103"/>
    </row>
    <row r="77" spans="2:8" x14ac:dyDescent="0.25">
      <c r="B77" s="38">
        <v>2011</v>
      </c>
      <c r="C77" s="85">
        <v>0.98796152424999995</v>
      </c>
      <c r="D77" s="38">
        <f t="shared" si="3"/>
        <v>1.16466428272447</v>
      </c>
      <c r="E77" s="103"/>
      <c r="F77" s="103"/>
      <c r="G77" s="103"/>
      <c r="H77" s="103"/>
    </row>
    <row r="78" spans="2:8" x14ac:dyDescent="0.25">
      <c r="B78" s="38">
        <v>2012</v>
      </c>
      <c r="C78" s="85">
        <v>0.99999197274999996</v>
      </c>
      <c r="D78" s="38">
        <f t="shared" si="3"/>
        <v>1.1506527365771799</v>
      </c>
    </row>
    <row r="79" spans="2:8" x14ac:dyDescent="0.25">
      <c r="B79" s="38">
        <v>2013</v>
      </c>
      <c r="C79" s="85">
        <v>1.0173536025000001</v>
      </c>
      <c r="D79" s="38">
        <f t="shared" si="3"/>
        <v>1.13101629283315</v>
      </c>
    </row>
    <row r="80" spans="2:8" x14ac:dyDescent="0.25">
      <c r="B80" s="38">
        <v>2014</v>
      </c>
      <c r="C80" s="85">
        <v>1.0371563099999999</v>
      </c>
      <c r="D80" s="38">
        <f t="shared" si="3"/>
        <v>1.1094214911540192</v>
      </c>
    </row>
    <row r="81" spans="2:4" x14ac:dyDescent="0.25">
      <c r="B81" s="38">
        <v>2015</v>
      </c>
      <c r="C81" s="85">
        <v>1.0280665250000001</v>
      </c>
      <c r="D81" s="38">
        <f t="shared" si="3"/>
        <v>1.1192305867560468</v>
      </c>
    </row>
    <row r="82" spans="2:4" x14ac:dyDescent="0.25">
      <c r="B82" s="38">
        <v>2016</v>
      </c>
      <c r="C82" s="85">
        <v>1.035778715</v>
      </c>
      <c r="D82" s="38">
        <f t="shared" si="3"/>
        <v>1.1108970317081677</v>
      </c>
    </row>
    <row r="83" spans="2:4" x14ac:dyDescent="0.25">
      <c r="B83" s="38">
        <v>2017</v>
      </c>
      <c r="C83" s="85">
        <v>1.0623520424999999</v>
      </c>
      <c r="D83" s="38">
        <f t="shared" si="3"/>
        <v>1.0831094156812902</v>
      </c>
    </row>
    <row r="84" spans="2:4" x14ac:dyDescent="0.25">
      <c r="B84" s="38">
        <v>2018</v>
      </c>
      <c r="C84" s="85">
        <v>1.0810521550000001</v>
      </c>
      <c r="D84" s="38">
        <f t="shared" si="3"/>
        <v>1.0643737165483935</v>
      </c>
    </row>
    <row r="85" spans="2:4" x14ac:dyDescent="0.25">
      <c r="B85" s="38">
        <v>2019</v>
      </c>
      <c r="C85" s="85">
        <v>1.0991006274999999</v>
      </c>
      <c r="D85" s="38">
        <f t="shared" si="3"/>
        <v>1.0468954991111588</v>
      </c>
    </row>
    <row r="86" spans="2:4" x14ac:dyDescent="0.25">
      <c r="B86" s="38">
        <v>2020</v>
      </c>
      <c r="C86" s="85">
        <v>1.1052867824999999</v>
      </c>
      <c r="D86" s="38">
        <f t="shared" si="3"/>
        <v>1.0410361529859335</v>
      </c>
    </row>
    <row r="87" spans="2:4" x14ac:dyDescent="0.25">
      <c r="B87" s="38">
        <v>2021</v>
      </c>
      <c r="C87" s="85">
        <v>1.130906</v>
      </c>
      <c r="D87" s="38">
        <f t="shared" si="3"/>
        <v>1.0174528210125335</v>
      </c>
    </row>
    <row r="88" spans="2:4" x14ac:dyDescent="0.25">
      <c r="B88" s="38">
        <v>2022</v>
      </c>
      <c r="C88" s="85">
        <v>1.1506435000000002</v>
      </c>
      <c r="D88" s="38">
        <f t="shared" si="3"/>
        <v>1</v>
      </c>
    </row>
  </sheetData>
  <mergeCells count="7">
    <mergeCell ref="B72:D74"/>
    <mergeCell ref="D15:E17"/>
    <mergeCell ref="J3:L3"/>
    <mergeCell ref="J9:L9"/>
    <mergeCell ref="B57:D57"/>
    <mergeCell ref="B4:E4"/>
    <mergeCell ref="G29:G30"/>
  </mergeCells>
  <pageMargins left="0.7" right="0.7" top="0.75" bottom="0.75" header="0.3" footer="0.3"/>
  <pageSetup scale="4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95"/>
  <sheetViews>
    <sheetView workbookViewId="0">
      <selection activeCell="Q11" sqref="Q11"/>
    </sheetView>
  </sheetViews>
  <sheetFormatPr defaultRowHeight="15" x14ac:dyDescent="0.25"/>
  <cols>
    <col min="1" max="3" width="9.140625" style="38"/>
    <col min="4" max="4" width="11.42578125" style="38" customWidth="1"/>
    <col min="5" max="5" width="3.85546875" style="38" customWidth="1"/>
    <col min="6" max="6" width="12.42578125" style="38" bestFit="1" customWidth="1"/>
    <col min="7" max="7" width="15.85546875" style="38" customWidth="1"/>
    <col min="8" max="9" width="11.42578125" style="38" customWidth="1"/>
    <col min="10" max="10" width="4.28515625" style="38" customWidth="1"/>
    <col min="11" max="11" width="10" style="38" customWidth="1"/>
    <col min="12" max="12" width="12" style="38" customWidth="1"/>
    <col min="13" max="13" width="12.140625" style="38" customWidth="1"/>
    <col min="14" max="14" width="3.7109375" style="38" customWidth="1"/>
    <col min="15" max="15" width="14.42578125" style="38" customWidth="1"/>
    <col min="16" max="16" width="18" style="38" customWidth="1"/>
    <col min="17" max="18" width="9.140625" style="38"/>
    <col min="19" max="19" width="11.42578125" style="38" bestFit="1" customWidth="1"/>
    <col min="20" max="16384" width="9.140625" style="38"/>
  </cols>
  <sheetData>
    <row r="1" spans="1:20" x14ac:dyDescent="0.25">
      <c r="A1" s="198" t="s">
        <v>71</v>
      </c>
      <c r="B1" s="198"/>
      <c r="C1" s="198"/>
      <c r="D1" s="198"/>
      <c r="E1" s="198"/>
      <c r="F1" s="198"/>
      <c r="G1" s="198"/>
      <c r="H1" s="198"/>
      <c r="I1" s="198"/>
      <c r="J1" s="6"/>
    </row>
    <row r="2" spans="1:20" ht="15" customHeight="1" x14ac:dyDescent="0.25">
      <c r="A2" s="198" t="s">
        <v>49</v>
      </c>
      <c r="B2" s="198"/>
      <c r="C2" s="198"/>
      <c r="D2" s="198"/>
      <c r="E2" s="198"/>
      <c r="F2" s="198"/>
      <c r="G2" s="198"/>
      <c r="H2" s="198"/>
      <c r="I2" s="198"/>
      <c r="J2" s="6"/>
      <c r="L2" s="24"/>
      <c r="M2" s="24"/>
    </row>
    <row r="3" spans="1:20" ht="14.25" customHeight="1" x14ac:dyDescent="0.25">
      <c r="A3" s="198" t="s">
        <v>50</v>
      </c>
      <c r="B3" s="198"/>
      <c r="C3" s="198"/>
      <c r="D3" s="198"/>
      <c r="E3" s="198"/>
      <c r="F3" s="198"/>
      <c r="G3" s="198"/>
      <c r="H3" s="198"/>
      <c r="I3" s="198"/>
      <c r="J3" s="6"/>
      <c r="K3" s="204" t="s">
        <v>104</v>
      </c>
      <c r="L3" s="204"/>
      <c r="M3" s="204"/>
      <c r="N3" s="204"/>
      <c r="O3" s="204"/>
      <c r="P3" s="204"/>
    </row>
    <row r="4" spans="1:20" x14ac:dyDescent="0.25">
      <c r="A4" s="203" t="s">
        <v>101</v>
      </c>
      <c r="B4" s="203"/>
      <c r="C4" s="203"/>
      <c r="D4" s="203"/>
      <c r="E4" s="203"/>
      <c r="F4" s="203"/>
      <c r="G4" s="203"/>
      <c r="H4" s="203"/>
      <c r="I4" s="203"/>
      <c r="J4" s="29"/>
      <c r="K4" s="205" t="s">
        <v>78</v>
      </c>
      <c r="L4" s="205"/>
      <c r="M4" s="205"/>
      <c r="N4" s="205"/>
      <c r="O4" s="205"/>
      <c r="P4" s="205"/>
    </row>
    <row r="5" spans="1:20" x14ac:dyDescent="0.25">
      <c r="A5" s="4"/>
      <c r="B5" s="29"/>
      <c r="C5" s="29"/>
      <c r="D5" s="29"/>
      <c r="E5" s="29"/>
      <c r="K5" s="7"/>
      <c r="L5" s="7"/>
      <c r="M5" s="7"/>
      <c r="P5" s="97" t="s">
        <v>64</v>
      </c>
    </row>
    <row r="6" spans="1:20" ht="15" customHeight="1" x14ac:dyDescent="0.25">
      <c r="A6" s="4"/>
      <c r="B6" s="201" t="s">
        <v>51</v>
      </c>
      <c r="C6" s="201"/>
      <c r="D6" s="201"/>
      <c r="E6" s="30"/>
      <c r="F6" s="201" t="s">
        <v>63</v>
      </c>
      <c r="G6" s="201"/>
      <c r="H6" s="201"/>
      <c r="I6" s="201"/>
      <c r="J6" s="201"/>
      <c r="K6" s="202" t="s">
        <v>56</v>
      </c>
      <c r="L6" s="202"/>
      <c r="M6" s="202"/>
      <c r="N6" s="50"/>
      <c r="O6" s="199" t="s">
        <v>61</v>
      </c>
      <c r="P6" s="199" t="s">
        <v>62</v>
      </c>
    </row>
    <row r="7" spans="1:20" x14ac:dyDescent="0.25">
      <c r="A7" s="4"/>
      <c r="B7" s="200" t="s">
        <v>52</v>
      </c>
      <c r="C7" s="200"/>
      <c r="D7" s="112" t="s">
        <v>53</v>
      </c>
      <c r="E7" s="112"/>
      <c r="F7" s="200" t="s">
        <v>52</v>
      </c>
      <c r="G7" s="200"/>
      <c r="H7" s="112" t="s">
        <v>53</v>
      </c>
      <c r="I7" s="112"/>
      <c r="J7" s="4"/>
      <c r="K7" s="198" t="s">
        <v>52</v>
      </c>
      <c r="L7" s="198"/>
      <c r="M7" s="29" t="s">
        <v>53</v>
      </c>
      <c r="N7" s="8"/>
      <c r="O7" s="199"/>
      <c r="P7" s="199"/>
      <c r="Q7" s="4"/>
      <c r="R7" s="4"/>
    </row>
    <row r="8" spans="1:20" x14ac:dyDescent="0.25">
      <c r="A8" s="114" t="s">
        <v>44</v>
      </c>
      <c r="B8" s="112" t="s">
        <v>102</v>
      </c>
      <c r="C8" s="112" t="s">
        <v>103</v>
      </c>
      <c r="D8" s="112" t="s">
        <v>54</v>
      </c>
      <c r="E8" s="112"/>
      <c r="F8" s="112" t="s">
        <v>102</v>
      </c>
      <c r="G8" s="112" t="s">
        <v>103</v>
      </c>
      <c r="H8" s="112" t="s">
        <v>54</v>
      </c>
      <c r="I8" s="112" t="s">
        <v>9</v>
      </c>
      <c r="J8" s="4"/>
      <c r="K8" s="29" t="s">
        <v>102</v>
      </c>
      <c r="L8" s="29" t="s">
        <v>103</v>
      </c>
      <c r="M8" s="29" t="s">
        <v>54</v>
      </c>
      <c r="N8" s="8"/>
      <c r="O8" s="199"/>
      <c r="P8" s="199"/>
      <c r="Q8" s="29"/>
    </row>
    <row r="9" spans="1:20" x14ac:dyDescent="0.25">
      <c r="A9" s="4"/>
      <c r="B9" s="113" t="s">
        <v>45</v>
      </c>
      <c r="C9" s="113" t="s">
        <v>45</v>
      </c>
      <c r="D9" s="113" t="s">
        <v>45</v>
      </c>
      <c r="E9" s="113"/>
      <c r="F9" s="113" t="s">
        <v>45</v>
      </c>
      <c r="G9" s="113" t="s">
        <v>45</v>
      </c>
      <c r="H9" s="113" t="s">
        <v>45</v>
      </c>
      <c r="I9" s="113" t="s">
        <v>60</v>
      </c>
      <c r="O9" s="9" t="s">
        <v>45</v>
      </c>
      <c r="P9" s="9" t="s">
        <v>45</v>
      </c>
      <c r="R9" s="96"/>
    </row>
    <row r="10" spans="1:20" x14ac:dyDescent="0.25">
      <c r="A10" s="4">
        <v>2022</v>
      </c>
      <c r="B10" s="10">
        <v>72.864214714341017</v>
      </c>
      <c r="C10" s="10">
        <v>59.505762284222087</v>
      </c>
      <c r="D10" s="10">
        <v>26.507154653013842</v>
      </c>
      <c r="E10" s="10"/>
      <c r="F10" s="10">
        <v>130.91154038203734</v>
      </c>
      <c r="G10" s="10">
        <v>63.551021491130825</v>
      </c>
      <c r="H10" s="10">
        <v>1.3579743421834811</v>
      </c>
      <c r="I10" s="11">
        <v>285.71463500630614</v>
      </c>
      <c r="K10" s="174">
        <v>0.16</v>
      </c>
      <c r="L10" s="174">
        <v>0.15</v>
      </c>
      <c r="M10" s="174">
        <v>0.69</v>
      </c>
      <c r="O10" s="110">
        <f t="shared" ref="O10:O41" si="0">B10*K10+C10*L10+D10*M10</f>
        <v>38.874075407507419</v>
      </c>
      <c r="P10" s="111">
        <f>F10*K10+G10*L10+H10*M10</f>
        <v>31.415501980902199</v>
      </c>
      <c r="R10" s="96"/>
      <c r="S10" s="96"/>
      <c r="T10" s="96"/>
    </row>
    <row r="11" spans="1:20" x14ac:dyDescent="0.25">
      <c r="A11" s="4">
        <v>2023</v>
      </c>
      <c r="B11" s="10">
        <v>64.525616750701332</v>
      </c>
      <c r="C11" s="10">
        <v>52.15211918523746</v>
      </c>
      <c r="D11" s="10">
        <v>23.711954658441069</v>
      </c>
      <c r="E11" s="10"/>
      <c r="F11" s="10">
        <v>135.540227963192</v>
      </c>
      <c r="G11" s="10">
        <v>65.817304980885893</v>
      </c>
      <c r="H11" s="10">
        <v>1.3926851139025396</v>
      </c>
      <c r="I11" s="11">
        <v>292.14757734301571</v>
      </c>
      <c r="K11" s="174">
        <f>K12/(K12+L12)</f>
        <v>0.5161290322580645</v>
      </c>
      <c r="L11" s="174">
        <f>L12/(K12+L12)</f>
        <v>0.48387096774193544</v>
      </c>
      <c r="M11" s="174">
        <v>0</v>
      </c>
      <c r="O11" s="110">
        <f t="shared" si="0"/>
        <v>58.538440509347836</v>
      </c>
      <c r="P11" s="111">
        <f t="shared" ref="P11:P74" si="1">F11*K11+G11*L11+H11*M11</f>
        <v>101.8033297459471</v>
      </c>
      <c r="Q11" s="96" t="s">
        <v>140</v>
      </c>
      <c r="R11" s="96"/>
      <c r="S11" s="96"/>
    </row>
    <row r="12" spans="1:20" x14ac:dyDescent="0.25">
      <c r="A12" s="4">
        <v>2024</v>
      </c>
      <c r="B12" s="10">
        <v>63.446621129012698</v>
      </c>
      <c r="C12" s="10">
        <v>52.145815066988114</v>
      </c>
      <c r="D12" s="10">
        <v>24.842216404795842</v>
      </c>
      <c r="E12" s="10"/>
      <c r="F12" s="10">
        <v>138.55539800648114</v>
      </c>
      <c r="G12" s="10">
        <v>67.281542311794823</v>
      </c>
      <c r="H12" s="10">
        <v>1.4237659140711976</v>
      </c>
      <c r="I12" s="11">
        <v>299.70385697399109</v>
      </c>
      <c r="K12" s="115">
        <v>0.16</v>
      </c>
      <c r="L12" s="115">
        <v>0.15</v>
      </c>
      <c r="M12" s="115">
        <v>0.69</v>
      </c>
      <c r="O12" s="110">
        <f t="shared" si="0"/>
        <v>35.114460959999377</v>
      </c>
      <c r="P12" s="111">
        <f t="shared" si="1"/>
        <v>33.243493508515336</v>
      </c>
      <c r="R12" s="96"/>
    </row>
    <row r="13" spans="1:20" x14ac:dyDescent="0.25">
      <c r="A13" s="4">
        <v>2025</v>
      </c>
      <c r="B13" s="10">
        <v>62.095770035805891</v>
      </c>
      <c r="C13" s="10">
        <v>51.90098589760067</v>
      </c>
      <c r="D13" s="10">
        <v>26.655060923974638</v>
      </c>
      <c r="E13" s="10"/>
      <c r="F13" s="10">
        <v>141.63843053162765</v>
      </c>
      <c r="G13" s="10">
        <v>68.778737209308233</v>
      </c>
      <c r="H13" s="10">
        <v>1.4555483294763412</v>
      </c>
      <c r="I13" s="11">
        <v>306.61481288545673</v>
      </c>
      <c r="K13" s="115">
        <f t="shared" ref="K13:K75" si="2">K12</f>
        <v>0.16</v>
      </c>
      <c r="L13" s="115">
        <f t="shared" ref="L13:L75" si="3">L12</f>
        <v>0.15</v>
      </c>
      <c r="M13" s="115">
        <f t="shared" ref="M13:M75" si="4">M12</f>
        <v>0.69</v>
      </c>
      <c r="O13" s="110">
        <f t="shared" si="0"/>
        <v>36.112463127911539</v>
      </c>
      <c r="P13" s="111">
        <f t="shared" si="1"/>
        <v>33.983287813795336</v>
      </c>
      <c r="R13" s="96"/>
    </row>
    <row r="14" spans="1:20" x14ac:dyDescent="0.25">
      <c r="A14" s="4">
        <v>2026</v>
      </c>
      <c r="B14" s="10">
        <v>68.694844535563561</v>
      </c>
      <c r="C14" s="10">
        <v>58.717703645385789</v>
      </c>
      <c r="D14" s="10">
        <v>27.267459476463134</v>
      </c>
      <c r="E14" s="10"/>
      <c r="F14" s="10">
        <v>144.79087109167659</v>
      </c>
      <c r="G14" s="10">
        <v>70.309640314765645</v>
      </c>
      <c r="H14" s="10">
        <v>1.4880483818740218</v>
      </c>
      <c r="I14" s="11">
        <v>312.30496428589424</v>
      </c>
      <c r="K14" s="115">
        <f t="shared" si="2"/>
        <v>0.16</v>
      </c>
      <c r="L14" s="115">
        <f t="shared" si="3"/>
        <v>0.15</v>
      </c>
      <c r="M14" s="115">
        <f t="shared" si="4"/>
        <v>0.69</v>
      </c>
      <c r="O14" s="110">
        <f t="shared" si="0"/>
        <v>38.613377711257598</v>
      </c>
      <c r="P14" s="111">
        <f t="shared" si="1"/>
        <v>34.739738805376177</v>
      </c>
      <c r="R14" s="96"/>
    </row>
    <row r="15" spans="1:20" x14ac:dyDescent="0.25">
      <c r="A15" s="4">
        <v>2027</v>
      </c>
      <c r="B15" s="10">
        <v>70.98416118383453</v>
      </c>
      <c r="C15" s="10">
        <v>61.184058488152623</v>
      </c>
      <c r="D15" s="10">
        <v>28.175756657355443</v>
      </c>
      <c r="E15" s="10"/>
      <c r="F15" s="10">
        <v>148.01430085532726</v>
      </c>
      <c r="G15" s="10">
        <v>71.875019568057382</v>
      </c>
      <c r="H15" s="10">
        <v>1.5212824630827</v>
      </c>
      <c r="I15" s="11">
        <v>318.75391512730653</v>
      </c>
      <c r="K15" s="115">
        <f t="shared" si="2"/>
        <v>0.16</v>
      </c>
      <c r="L15" s="115">
        <f t="shared" si="3"/>
        <v>0.15</v>
      </c>
      <c r="M15" s="115">
        <f t="shared" si="4"/>
        <v>0.69</v>
      </c>
      <c r="O15" s="110">
        <f t="shared" si="0"/>
        <v>39.976346656211675</v>
      </c>
      <c r="P15" s="111">
        <f t="shared" si="1"/>
        <v>35.513225971588035</v>
      </c>
      <c r="R15" s="96"/>
    </row>
    <row r="16" spans="1:20" x14ac:dyDescent="0.25">
      <c r="A16" s="4">
        <v>2028</v>
      </c>
      <c r="B16" s="10">
        <v>73.542868128012685</v>
      </c>
      <c r="C16" s="10">
        <v>64.203701610232997</v>
      </c>
      <c r="D16" s="10">
        <v>31.273836347945885</v>
      </c>
      <c r="E16" s="10"/>
      <c r="F16" s="10">
        <v>151.31033743711106</v>
      </c>
      <c r="G16" s="10">
        <v>73.475660610858256</v>
      </c>
      <c r="H16" s="10">
        <v>1.5552673436260676</v>
      </c>
      <c r="I16" s="11">
        <v>326.38079949430778</v>
      </c>
      <c r="K16" s="115">
        <f t="shared" si="2"/>
        <v>0.16</v>
      </c>
      <c r="L16" s="115">
        <f t="shared" si="3"/>
        <v>0.15</v>
      </c>
      <c r="M16" s="115">
        <f t="shared" si="4"/>
        <v>0.69</v>
      </c>
      <c r="O16" s="110">
        <f t="shared" si="0"/>
        <v>42.976361222099641</v>
      </c>
      <c r="P16" s="111">
        <f t="shared" si="1"/>
        <v>36.304137548668493</v>
      </c>
      <c r="R16" s="96"/>
    </row>
    <row r="17" spans="1:18" x14ac:dyDescent="0.25">
      <c r="A17" s="4">
        <v>2029</v>
      </c>
      <c r="B17" s="10">
        <v>77.184145140836677</v>
      </c>
      <c r="C17" s="10">
        <v>66.564065677371303</v>
      </c>
      <c r="D17" s="10">
        <v>36.527439517183808</v>
      </c>
      <c r="E17" s="10"/>
      <c r="F17" s="10">
        <v>154.68063574713298</v>
      </c>
      <c r="G17" s="10">
        <v>75.112367199364286</v>
      </c>
      <c r="H17" s="10">
        <v>1.5900201815798574</v>
      </c>
      <c r="I17" s="11">
        <v>334.78990701376006</v>
      </c>
      <c r="K17" s="115">
        <f t="shared" si="2"/>
        <v>0.16</v>
      </c>
      <c r="L17" s="115">
        <f t="shared" si="3"/>
        <v>0.15</v>
      </c>
      <c r="M17" s="115">
        <f t="shared" si="4"/>
        <v>0.69</v>
      </c>
      <c r="O17" s="110">
        <f t="shared" si="0"/>
        <v>47.53800634099639</v>
      </c>
      <c r="P17" s="111">
        <f t="shared" si="1"/>
        <v>37.11287072473602</v>
      </c>
      <c r="R17" s="96"/>
    </row>
    <row r="18" spans="1:18" x14ac:dyDescent="0.25">
      <c r="A18" s="4">
        <v>2030</v>
      </c>
      <c r="B18" s="10">
        <f>B17*(1+'Escalation Sheet'!$C11)</f>
        <v>78.523500395885989</v>
      </c>
      <c r="C18" s="10">
        <f>C17*(1+'Escalation Sheet'!$C11)</f>
        <v>67.719133612628724</v>
      </c>
      <c r="D18" s="10">
        <f>D17*(1+'Escalation Sheet'!$C11)</f>
        <v>37.161290134840669</v>
      </c>
      <c r="E18" s="10"/>
      <c r="F18" s="10">
        <f>F17*(1+'Escalation Sheet'!$C11)</f>
        <v>157.36476630223945</v>
      </c>
      <c r="G18" s="10">
        <f>G17*(1+'Escalation Sheet'!$C11)</f>
        <v>76.415771461264129</v>
      </c>
      <c r="H18" s="10">
        <f>H17*(1+'Escalation Sheet'!$C11)</f>
        <v>1.6176113647425081</v>
      </c>
      <c r="I18" s="10">
        <f>I17*(1+'Escalation Sheet'!$C11)</f>
        <v>340.59942424658237</v>
      </c>
      <c r="K18" s="115">
        <f t="shared" si="2"/>
        <v>0.16</v>
      </c>
      <c r="L18" s="115">
        <f t="shared" si="3"/>
        <v>0.15</v>
      </c>
      <c r="M18" s="115">
        <f t="shared" si="4"/>
        <v>0.69</v>
      </c>
      <c r="O18" s="110">
        <f t="shared" si="0"/>
        <v>48.362920298276123</v>
      </c>
      <c r="P18" s="111">
        <f t="shared" si="1"/>
        <v>37.756880169220267</v>
      </c>
      <c r="R18" s="96"/>
    </row>
    <row r="19" spans="1:18" x14ac:dyDescent="0.25">
      <c r="A19" s="4">
        <v>2031</v>
      </c>
      <c r="B19" s="10">
        <f>B18*(1+'Escalation Sheet'!$C12)</f>
        <v>79.896654713304954</v>
      </c>
      <c r="C19" s="10">
        <f>C18*(1+'Escalation Sheet'!$C12)</f>
        <v>68.903350060230238</v>
      </c>
      <c r="D19" s="10">
        <f>D18*(1+'Escalation Sheet'!$C12)</f>
        <v>37.811136177518982</v>
      </c>
      <c r="E19" s="10"/>
      <c r="F19" s="10">
        <f>F18*(1+'Escalation Sheet'!$C12)</f>
        <v>160.11663175867122</v>
      </c>
      <c r="G19" s="10">
        <f>G18*(1+'Escalation Sheet'!$C12)</f>
        <v>77.752067550612097</v>
      </c>
      <c r="H19" s="10">
        <f>H18*(1+'Escalation Sheet'!$C12)</f>
        <v>1.6458988203220932</v>
      </c>
      <c r="I19" s="10">
        <f>I18*(1+'Escalation Sheet'!$C12)</f>
        <v>346.55554652280114</v>
      </c>
      <c r="K19" s="115">
        <f t="shared" si="2"/>
        <v>0.16</v>
      </c>
      <c r="L19" s="115">
        <f t="shared" si="3"/>
        <v>0.15</v>
      </c>
      <c r="M19" s="115">
        <f t="shared" si="4"/>
        <v>0.69</v>
      </c>
      <c r="O19" s="110">
        <f t="shared" si="0"/>
        <v>49.208651225651423</v>
      </c>
      <c r="P19" s="111">
        <f t="shared" si="1"/>
        <v>38.417141400001455</v>
      </c>
      <c r="R19" s="96"/>
    </row>
    <row r="20" spans="1:18" x14ac:dyDescent="0.25">
      <c r="A20" s="4">
        <v>2032</v>
      </c>
      <c r="B20" s="10">
        <f>B19*(1+'Escalation Sheet'!$C13)</f>
        <v>81.282634893115159</v>
      </c>
      <c r="C20" s="10">
        <f>C19*(1+'Escalation Sheet'!$C13)</f>
        <v>70.098627607815729</v>
      </c>
      <c r="D20" s="10">
        <f>D19*(1+'Escalation Sheet'!$C13)</f>
        <v>38.467052066690982</v>
      </c>
      <c r="E20" s="10"/>
      <c r="F20" s="10">
        <f>F19*(1+'Escalation Sheet'!$C13)</f>
        <v>162.89420084303154</v>
      </c>
      <c r="G20" s="10">
        <f>G19*(1+'Escalation Sheet'!$C13)</f>
        <v>79.100845230367284</v>
      </c>
      <c r="H20" s="10">
        <f>H19*(1+'Escalation Sheet'!$C13)</f>
        <v>1.6744504931189712</v>
      </c>
      <c r="I20" s="10">
        <f>I19*(1+'Escalation Sheet'!$C13)</f>
        <v>352.56730158823456</v>
      </c>
      <c r="K20" s="115">
        <f t="shared" si="2"/>
        <v>0.16</v>
      </c>
      <c r="L20" s="115">
        <f t="shared" si="3"/>
        <v>0.15</v>
      </c>
      <c r="M20" s="115">
        <f t="shared" si="4"/>
        <v>0.69</v>
      </c>
      <c r="O20" s="110">
        <f t="shared" si="0"/>
        <v>50.062281650087556</v>
      </c>
      <c r="P20" s="111">
        <f t="shared" si="1"/>
        <v>39.083569759692232</v>
      </c>
      <c r="R20" s="96"/>
    </row>
    <row r="21" spans="1:18" x14ac:dyDescent="0.25">
      <c r="A21" s="4">
        <v>2033</v>
      </c>
      <c r="B21" s="10">
        <f>B20*(1+'Escalation Sheet'!$C14)</f>
        <v>82.686469256367729</v>
      </c>
      <c r="C21" s="10">
        <f>C20*(1+'Escalation Sheet'!$C14)</f>
        <v>71.309302709356174</v>
      </c>
      <c r="D21" s="10">
        <f>D20*(1+'Escalation Sheet'!$C14)</f>
        <v>39.131417458084329</v>
      </c>
      <c r="E21" s="10"/>
      <c r="F21" s="10">
        <f>F20*(1+'Escalation Sheet'!$C14)</f>
        <v>165.70755054581514</v>
      </c>
      <c r="G21" s="10">
        <f>G20*(1+'Escalation Sheet'!$C14)</f>
        <v>80.466997851314346</v>
      </c>
      <c r="H21" s="10">
        <f>H20*(1+'Escalation Sheet'!$C14)</f>
        <v>1.7033699682921946</v>
      </c>
      <c r="I21" s="10">
        <f>I20*(1+'Escalation Sheet'!$C14)</f>
        <v>358.65650002501803</v>
      </c>
      <c r="K21" s="115">
        <f t="shared" si="2"/>
        <v>0.16</v>
      </c>
      <c r="L21" s="115">
        <f t="shared" si="3"/>
        <v>0.15</v>
      </c>
      <c r="M21" s="115">
        <f t="shared" si="4"/>
        <v>0.69</v>
      </c>
      <c r="O21" s="110">
        <f t="shared" si="0"/>
        <v>50.926908533500452</v>
      </c>
      <c r="P21" s="111">
        <f t="shared" si="1"/>
        <v>39.758583043149187</v>
      </c>
      <c r="R21" s="96"/>
    </row>
    <row r="22" spans="1:18" x14ac:dyDescent="0.25">
      <c r="A22" s="4">
        <v>2034</v>
      </c>
      <c r="B22" s="10">
        <f>B21*(1+'Escalation Sheet'!$C15)</f>
        <v>84.109921359141453</v>
      </c>
      <c r="C22" s="10">
        <f>C21*(1+'Escalation Sheet'!$C15)</f>
        <v>72.536896266099362</v>
      </c>
      <c r="D22" s="10">
        <f>D21*(1+'Escalation Sheet'!$C15)</f>
        <v>39.80506695559189</v>
      </c>
      <c r="E22" s="10"/>
      <c r="F22" s="10">
        <f>F21*(1+'Escalation Sheet'!$C15)</f>
        <v>168.56021511586218</v>
      </c>
      <c r="G22" s="10">
        <f>G21*(1+'Escalation Sheet'!$C15)</f>
        <v>81.85224163213428</v>
      </c>
      <c r="H22" s="10">
        <f>H21*(1+'Escalation Sheet'!$C15)</f>
        <v>1.7326935757091411</v>
      </c>
      <c r="I22" s="10">
        <f>I21*(1+'Escalation Sheet'!$C15)</f>
        <v>364.83079134166849</v>
      </c>
      <c r="K22" s="115">
        <f t="shared" si="2"/>
        <v>0.16</v>
      </c>
      <c r="L22" s="115">
        <f t="shared" si="3"/>
        <v>0.15</v>
      </c>
      <c r="M22" s="115">
        <f t="shared" si="4"/>
        <v>0.69</v>
      </c>
      <c r="O22" s="110">
        <f t="shared" si="0"/>
        <v>51.803618056735942</v>
      </c>
      <c r="P22" s="111">
        <f t="shared" si="1"/>
        <v>40.443029230597404</v>
      </c>
      <c r="R22" s="96"/>
    </row>
    <row r="23" spans="1:18" x14ac:dyDescent="0.25">
      <c r="A23" s="4">
        <v>2035</v>
      </c>
      <c r="B23" s="10">
        <f>B22*(1+'Escalation Sheet'!$C16)</f>
        <v>85.553253548621598</v>
      </c>
      <c r="C23" s="10">
        <f>C22*(1+'Escalation Sheet'!$C16)</f>
        <v>73.781634527817687</v>
      </c>
      <c r="D23" s="10">
        <f>D22*(1+'Escalation Sheet'!$C16)</f>
        <v>40.488124715164673</v>
      </c>
      <c r="E23" s="10"/>
      <c r="F23" s="10">
        <f>F22*(1+'Escalation Sheet'!$C16)</f>
        <v>171.45272030919844</v>
      </c>
      <c r="G23" s="10">
        <f>G22*(1+'Escalation Sheet'!$C16)</f>
        <v>83.256831878085407</v>
      </c>
      <c r="H23" s="10">
        <f>H22*(1+'Escalation Sheet'!$C16)</f>
        <v>1.7624267198128913</v>
      </c>
      <c r="I23" s="10">
        <f>I22*(1+'Escalation Sheet'!$C16)</f>
        <v>371.09131348160167</v>
      </c>
      <c r="K23" s="115">
        <f t="shared" si="2"/>
        <v>0.16</v>
      </c>
      <c r="L23" s="115">
        <f t="shared" si="3"/>
        <v>0.15</v>
      </c>
      <c r="M23" s="115">
        <f t="shared" si="4"/>
        <v>0.69</v>
      </c>
      <c r="O23" s="110">
        <f t="shared" si="0"/>
        <v>52.692571800415735</v>
      </c>
      <c r="P23" s="111">
        <f t="shared" si="1"/>
        <v>41.137034467855457</v>
      </c>
      <c r="R23" s="96"/>
    </row>
    <row r="24" spans="1:18" x14ac:dyDescent="0.25">
      <c r="A24" s="4">
        <v>2036</v>
      </c>
      <c r="B24" s="10">
        <f>B23*(1+'Escalation Sheet'!$C17)</f>
        <v>87.029510309853833</v>
      </c>
      <c r="C24" s="10">
        <f>C23*(1+'Escalation Sheet'!$C17)</f>
        <v>75.054767135972142</v>
      </c>
      <c r="D24" s="10">
        <f>D23*(1+'Escalation Sheet'!$C17)</f>
        <v>41.186764046588891</v>
      </c>
      <c r="E24" s="10"/>
      <c r="F24" s="10">
        <f>F23*(1+'Escalation Sheet'!$C17)</f>
        <v>174.41120788377404</v>
      </c>
      <c r="G24" s="10">
        <f>G23*(1+'Escalation Sheet'!$C17)</f>
        <v>84.693462933956909</v>
      </c>
      <c r="H24" s="10">
        <f>H23*(1+'Escalation Sheet'!$C17)</f>
        <v>1.7928381215233065</v>
      </c>
      <c r="I24" s="10">
        <f>I23*(1+'Escalation Sheet'!$C17)</f>
        <v>377.4946475202122</v>
      </c>
      <c r="K24" s="115">
        <f t="shared" si="2"/>
        <v>0.16</v>
      </c>
      <c r="L24" s="115">
        <f t="shared" si="3"/>
        <v>0.15</v>
      </c>
      <c r="M24" s="115">
        <f t="shared" si="4"/>
        <v>0.69</v>
      </c>
      <c r="O24" s="110">
        <f t="shared" si="0"/>
        <v>53.601803912118768</v>
      </c>
      <c r="P24" s="111">
        <f t="shared" si="1"/>
        <v>41.846871005348461</v>
      </c>
      <c r="R24" s="96"/>
    </row>
    <row r="25" spans="1:18" x14ac:dyDescent="0.25">
      <c r="A25" s="4">
        <v>2037</v>
      </c>
      <c r="B25" s="10">
        <f>B24*(1+'Escalation Sheet'!$C18)</f>
        <v>88.513972708047717</v>
      </c>
      <c r="C25" s="10">
        <f>C24*(1+'Escalation Sheet'!$C18)</f>
        <v>76.334976334229964</v>
      </c>
      <c r="D25" s="10">
        <f>D24*(1+'Escalation Sheet'!$C18)</f>
        <v>41.889286700258495</v>
      </c>
      <c r="E25" s="10"/>
      <c r="F25" s="10">
        <f>F24*(1+'Escalation Sheet'!$C18)</f>
        <v>177.38613993849023</v>
      </c>
      <c r="G25" s="10">
        <f>G24*(1+'Escalation Sheet'!$C18)</f>
        <v>86.138079370963922</v>
      </c>
      <c r="H25" s="10">
        <f>H24*(1+'Escalation Sheet'!$C18)</f>
        <v>1.8234185622034209</v>
      </c>
      <c r="I25" s="10">
        <f>I24*(1+'Escalation Sheet'!$C18)</f>
        <v>383.93357390010425</v>
      </c>
      <c r="K25" s="115">
        <f t="shared" si="2"/>
        <v>0.16</v>
      </c>
      <c r="L25" s="115">
        <f t="shared" si="3"/>
        <v>0.15</v>
      </c>
      <c r="M25" s="115">
        <f t="shared" si="4"/>
        <v>0.69</v>
      </c>
      <c r="O25" s="110">
        <f t="shared" si="0"/>
        <v>54.516089906600484</v>
      </c>
      <c r="P25" s="111">
        <f t="shared" si="1"/>
        <v>42.560653103723389</v>
      </c>
      <c r="R25" s="96"/>
    </row>
    <row r="26" spans="1:18" x14ac:dyDescent="0.25">
      <c r="A26" s="4">
        <v>2038</v>
      </c>
      <c r="B26" s="10">
        <f>B25*(1+'Escalation Sheet'!$C19)</f>
        <v>90.034012299533671</v>
      </c>
      <c r="C26" s="10">
        <f>C25*(1+'Escalation Sheet'!$C19)</f>
        <v>77.645867515511483</v>
      </c>
      <c r="D26" s="10">
        <f>D25*(1+'Escalation Sheet'!$C19)</f>
        <v>42.608646280395263</v>
      </c>
      <c r="E26" s="10"/>
      <c r="F26" s="10">
        <f>F25*(1+'Escalation Sheet'!$C19)</f>
        <v>180.43237035204004</v>
      </c>
      <c r="G26" s="10">
        <f>G25*(1+'Escalation Sheet'!$C19)</f>
        <v>87.617318037725511</v>
      </c>
      <c r="H26" s="10">
        <f>H25*(1+'Escalation Sheet'!$C19)</f>
        <v>1.8547319054146854</v>
      </c>
      <c r="I26" s="10">
        <f>I25*(1+'Escalation Sheet'!$C19)</f>
        <v>390.52681805098842</v>
      </c>
      <c r="K26" s="115">
        <f t="shared" si="2"/>
        <v>0.16</v>
      </c>
      <c r="L26" s="115">
        <f t="shared" si="3"/>
        <v>0.15</v>
      </c>
      <c r="M26" s="115">
        <f t="shared" si="4"/>
        <v>0.69</v>
      </c>
      <c r="O26" s="110">
        <f t="shared" si="0"/>
        <v>55.452288028724837</v>
      </c>
      <c r="P26" s="111">
        <f t="shared" si="1"/>
        <v>43.291541976721369</v>
      </c>
      <c r="R26" s="96"/>
    </row>
    <row r="27" spans="1:18" x14ac:dyDescent="0.25">
      <c r="A27" s="4">
        <v>2039</v>
      </c>
      <c r="B27" s="10">
        <f>B26*(1+'Escalation Sheet'!$C20)</f>
        <v>91.563000845006258</v>
      </c>
      <c r="C27" s="10">
        <f>C26*(1+'Escalation Sheet'!$C20)</f>
        <v>78.964476327918192</v>
      </c>
      <c r="D27" s="10">
        <f>D26*(1+'Escalation Sheet'!$C20)</f>
        <v>43.332240957971962</v>
      </c>
      <c r="E27" s="10"/>
      <c r="F27" s="10">
        <f>F26*(1+'Escalation Sheet'!$C20)</f>
        <v>183.49653488780365</v>
      </c>
      <c r="G27" s="10">
        <f>G26*(1+'Escalation Sheet'!$C20)</f>
        <v>89.105265450521244</v>
      </c>
      <c r="H27" s="10">
        <f>H26*(1+'Escalation Sheet'!$C20)</f>
        <v>1.8862296001843795</v>
      </c>
      <c r="I27" s="10">
        <f>I26*(1+'Escalation Sheet'!$C20)</f>
        <v>397.15887871616565</v>
      </c>
      <c r="K27" s="115">
        <f t="shared" si="2"/>
        <v>0.16</v>
      </c>
      <c r="L27" s="115">
        <f t="shared" si="3"/>
        <v>0.15</v>
      </c>
      <c r="M27" s="115">
        <f t="shared" si="4"/>
        <v>0.69</v>
      </c>
      <c r="O27" s="110">
        <f t="shared" si="0"/>
        <v>56.393997845389379</v>
      </c>
      <c r="P27" s="111">
        <f t="shared" si="1"/>
        <v>44.026733823753993</v>
      </c>
      <c r="R27" s="96"/>
    </row>
    <row r="28" spans="1:18" x14ac:dyDescent="0.25">
      <c r="A28" s="4">
        <v>2040</v>
      </c>
      <c r="B28" s="10">
        <f>B27*(1+'Escalation Sheet'!$C21)</f>
        <v>93.134052389184646</v>
      </c>
      <c r="C28" s="10">
        <f>C27*(1+'Escalation Sheet'!$C21)</f>
        <v>80.319360520499572</v>
      </c>
      <c r="D28" s="10">
        <f>D27*(1+'Escalation Sheet'!$C21)</f>
        <v>44.07574197302683</v>
      </c>
      <c r="E28" s="10"/>
      <c r="F28" s="10">
        <f>F27*(1+'Escalation Sheet'!$C21)</f>
        <v>186.6449956397056</v>
      </c>
      <c r="G28" s="10">
        <f>G27*(1+'Escalation Sheet'!$C21)</f>
        <v>90.63414680640247</v>
      </c>
      <c r="H28" s="10">
        <f>H27*(1+'Escalation Sheet'!$C21)</f>
        <v>1.9185938073280586</v>
      </c>
      <c r="I28" s="10">
        <f>I27*(1+'Escalation Sheet'!$C21)</f>
        <v>403.97338964233546</v>
      </c>
      <c r="K28" s="115">
        <f t="shared" si="2"/>
        <v>0.16</v>
      </c>
      <c r="L28" s="115">
        <f t="shared" si="3"/>
        <v>0.15</v>
      </c>
      <c r="M28" s="115">
        <f t="shared" si="4"/>
        <v>0.69</v>
      </c>
      <c r="O28" s="110">
        <f t="shared" si="0"/>
        <v>57.361614421732988</v>
      </c>
      <c r="P28" s="111">
        <f t="shared" si="1"/>
        <v>44.782151050369627</v>
      </c>
      <c r="R28" s="96"/>
    </row>
    <row r="29" spans="1:18" x14ac:dyDescent="0.25">
      <c r="A29" s="4">
        <v>2041</v>
      </c>
      <c r="B29" s="10">
        <f>B28*(1+'Escalation Sheet'!$C22)</f>
        <v>94.728987209524746</v>
      </c>
      <c r="C29" s="10">
        <f>C28*(1+'Escalation Sheet'!$C22)</f>
        <v>81.694841792443782</v>
      </c>
      <c r="D29" s="10">
        <f>D28*(1+'Escalation Sheet'!$C22)</f>
        <v>44.830545761777991</v>
      </c>
      <c r="E29" s="10"/>
      <c r="F29" s="10">
        <f>F28*(1+'Escalation Sheet'!$C22)</f>
        <v>189.84131959374156</v>
      </c>
      <c r="G29" s="10">
        <f>G28*(1+'Escalation Sheet'!$C22)</f>
        <v>92.186270363200848</v>
      </c>
      <c r="H29" s="10">
        <f>H28*(1+'Escalation Sheet'!$C22)</f>
        <v>1.9514500182508827</v>
      </c>
      <c r="I29" s="10">
        <f>I28*(1+'Escalation Sheet'!$C22)</f>
        <v>410.89149541678364</v>
      </c>
      <c r="K29" s="115">
        <f t="shared" si="2"/>
        <v>0.16</v>
      </c>
      <c r="L29" s="115">
        <f t="shared" si="3"/>
        <v>0.15</v>
      </c>
      <c r="M29" s="115">
        <f t="shared" si="4"/>
        <v>0.69</v>
      </c>
      <c r="O29" s="110">
        <f t="shared" si="0"/>
        <v>58.343940798017343</v>
      </c>
      <c r="P29" s="111">
        <f t="shared" si="1"/>
        <v>45.549052202071884</v>
      </c>
      <c r="R29" s="96"/>
    </row>
    <row r="30" spans="1:18" x14ac:dyDescent="0.25">
      <c r="A30" s="4">
        <v>2042</v>
      </c>
      <c r="B30" s="10">
        <f>B29*(1+'Escalation Sheet'!$C23)</f>
        <v>96.351235531380951</v>
      </c>
      <c r="C30" s="10">
        <f>C29*(1+'Escalation Sheet'!$C23)</f>
        <v>83.093878390491298</v>
      </c>
      <c r="D30" s="10">
        <f>D29*(1+'Escalation Sheet'!$C23)</f>
        <v>45.598275680277844</v>
      </c>
      <c r="E30" s="10"/>
      <c r="F30" s="10">
        <f>F29*(1+'Escalation Sheet'!$C23)</f>
        <v>193.09238108190817</v>
      </c>
      <c r="G30" s="10">
        <f>G29*(1+'Escalation Sheet'!$C23)</f>
        <v>93.764974272112141</v>
      </c>
      <c r="H30" s="10">
        <f>H29*(1+'Escalation Sheet'!$C23)</f>
        <v>1.9848688967858308</v>
      </c>
      <c r="I30" s="10">
        <f>I29*(1+'Escalation Sheet'!$C23)</f>
        <v>417.92807480541921</v>
      </c>
      <c r="K30" s="115">
        <f t="shared" si="2"/>
        <v>0.16</v>
      </c>
      <c r="L30" s="115">
        <f t="shared" si="3"/>
        <v>0.15</v>
      </c>
      <c r="M30" s="115">
        <f t="shared" si="4"/>
        <v>0.69</v>
      </c>
      <c r="O30" s="110">
        <f t="shared" si="0"/>
        <v>59.343089662986358</v>
      </c>
      <c r="P30" s="111">
        <f t="shared" si="1"/>
        <v>46.329086652704348</v>
      </c>
    </row>
    <row r="31" spans="1:18" x14ac:dyDescent="0.25">
      <c r="A31" s="4">
        <v>2043</v>
      </c>
      <c r="B31" s="10">
        <f>B30*(1+'Escalation Sheet'!$C24)</f>
        <v>98.001265102623307</v>
      </c>
      <c r="C31" s="10">
        <f>C30*(1+'Escalation Sheet'!$C24)</f>
        <v>84.516873703186292</v>
      </c>
      <c r="D31" s="10">
        <f>D30*(1+'Escalation Sheet'!$C24)</f>
        <v>46.379153090465437</v>
      </c>
      <c r="E31" s="10"/>
      <c r="F31" s="10">
        <f>F30*(1+'Escalation Sheet'!$C24)</f>
        <v>196.39911749280742</v>
      </c>
      <c r="G31" s="10">
        <f>G30*(1+'Escalation Sheet'!$C24)</f>
        <v>95.370713725711298</v>
      </c>
      <c r="H31" s="10">
        <f>H30*(1+'Escalation Sheet'!$C24)</f>
        <v>2.0188600787013873</v>
      </c>
      <c r="I31" s="10">
        <f>I30*(1+'Escalation Sheet'!$C24)</f>
        <v>425.0851566869145</v>
      </c>
      <c r="K31" s="115">
        <f t="shared" si="2"/>
        <v>0.16</v>
      </c>
      <c r="L31" s="115">
        <f t="shared" si="3"/>
        <v>0.15</v>
      </c>
      <c r="M31" s="115">
        <f t="shared" si="4"/>
        <v>0.69</v>
      </c>
      <c r="O31" s="110">
        <f t="shared" si="0"/>
        <v>60.359349104318824</v>
      </c>
      <c r="P31" s="111">
        <f t="shared" si="1"/>
        <v>47.122479312009837</v>
      </c>
    </row>
    <row r="32" spans="1:18" x14ac:dyDescent="0.25">
      <c r="A32" s="4">
        <v>2044</v>
      </c>
      <c r="B32" s="10">
        <f>B31*(1+'Escalation Sheet'!$C25)</f>
        <v>99.679551681375315</v>
      </c>
      <c r="C32" s="10">
        <f>C31*(1+'Escalation Sheet'!$C25)</f>
        <v>85.964238027163162</v>
      </c>
      <c r="D32" s="10">
        <f>D31*(1+'Escalation Sheet'!$C25)</f>
        <v>47.17340314513671</v>
      </c>
      <c r="E32" s="10"/>
      <c r="F32" s="10">
        <f>F31*(1+'Escalation Sheet'!$C25)</f>
        <v>199.76248226796372</v>
      </c>
      <c r="G32" s="10">
        <f>G31*(1+'Escalation Sheet'!$C25)</f>
        <v>97.003951711815375</v>
      </c>
      <c r="H32" s="10">
        <f>H31*(1+'Escalation Sheet'!$C25)</f>
        <v>2.0534333647800387</v>
      </c>
      <c r="I32" s="10">
        <f>I31*(1+'Escalation Sheet'!$C25)</f>
        <v>432.36480468479778</v>
      </c>
      <c r="K32" s="115">
        <f t="shared" si="2"/>
        <v>0.16</v>
      </c>
      <c r="L32" s="115">
        <f t="shared" si="3"/>
        <v>0.15</v>
      </c>
      <c r="M32" s="115">
        <f t="shared" si="4"/>
        <v>0.69</v>
      </c>
      <c r="O32" s="110">
        <f t="shared" si="0"/>
        <v>61.393012143238856</v>
      </c>
      <c r="P32" s="111">
        <f t="shared" si="1"/>
        <v>47.929458941344727</v>
      </c>
    </row>
    <row r="33" spans="1:16" x14ac:dyDescent="0.25">
      <c r="A33" s="4">
        <v>2045</v>
      </c>
      <c r="B33" s="10">
        <f>B32*(1+'Escalation Sheet'!$C26)</f>
        <v>101.38657917319074</v>
      </c>
      <c r="C33" s="10">
        <f>C32*(1+'Escalation Sheet'!$C26)</f>
        <v>87.436388685448577</v>
      </c>
      <c r="D33" s="10">
        <f>D32*(1+'Escalation Sheet'!$C26)</f>
        <v>47.981254852863508</v>
      </c>
      <c r="E33" s="10"/>
      <c r="F33" s="10">
        <f>F32*(1+'Escalation Sheet'!$C26)</f>
        <v>203.18344517673268</v>
      </c>
      <c r="G33" s="10">
        <f>G32*(1+'Escalation Sheet'!$C26)</f>
        <v>98.665159146978269</v>
      </c>
      <c r="H33" s="10">
        <f>H32*(1+'Escalation Sheet'!$C26)</f>
        <v>2.088598723644163</v>
      </c>
      <c r="I33" s="10">
        <f>I32*(1+'Escalation Sheet'!$C26)</f>
        <v>439.76911776246442</v>
      </c>
      <c r="K33" s="115">
        <f t="shared" si="2"/>
        <v>0.16</v>
      </c>
      <c r="L33" s="115">
        <f t="shared" si="3"/>
        <v>0.15</v>
      </c>
      <c r="M33" s="115">
        <f t="shared" si="4"/>
        <v>0.69</v>
      </c>
      <c r="O33" s="110">
        <f t="shared" si="0"/>
        <v>62.444376819003622</v>
      </c>
      <c r="P33" s="111">
        <f t="shared" si="1"/>
        <v>48.75025821963844</v>
      </c>
    </row>
    <row r="34" spans="1:16" x14ac:dyDescent="0.25">
      <c r="A34" s="4">
        <v>2046</v>
      </c>
      <c r="B34" s="10">
        <f>B33*(1+'Escalation Sheet'!$C27)</f>
        <v>103.12283977057959</v>
      </c>
      <c r="C34" s="10">
        <f>C33*(1+'Escalation Sheet'!$C27)</f>
        <v>88.933750147789581</v>
      </c>
      <c r="D34" s="10">
        <f>D33*(1+'Escalation Sheet'!$C27)</f>
        <v>48.802941144024302</v>
      </c>
      <c r="E34" s="10"/>
      <c r="F34" s="10">
        <f>F33*(1+'Escalation Sheet'!$C27)</f>
        <v>206.66299259591773</v>
      </c>
      <c r="G34" s="10">
        <f>G33*(1+'Escalation Sheet'!$C27)</f>
        <v>100.3548150122715</v>
      </c>
      <c r="H34" s="10">
        <f>H33*(1+'Escalation Sheet'!$C27)</f>
        <v>2.1243662946303128</v>
      </c>
      <c r="I34" s="10">
        <f>I33*(1+'Escalation Sheet'!$C27)</f>
        <v>447.30023082837727</v>
      </c>
      <c r="K34" s="115">
        <f t="shared" si="2"/>
        <v>0.16</v>
      </c>
      <c r="L34" s="115">
        <f t="shared" si="3"/>
        <v>0.15</v>
      </c>
      <c r="M34" s="115">
        <f t="shared" si="4"/>
        <v>0.69</v>
      </c>
      <c r="O34" s="110">
        <f t="shared" si="0"/>
        <v>63.513746274837935</v>
      </c>
      <c r="P34" s="111">
        <f t="shared" si="1"/>
        <v>49.585113810482476</v>
      </c>
    </row>
    <row r="35" spans="1:16" x14ac:dyDescent="0.25">
      <c r="A35" s="4">
        <v>2047</v>
      </c>
      <c r="B35" s="10">
        <f>B34*(1+'Escalation Sheet'!$C28)</f>
        <v>104.88883409492351</v>
      </c>
      <c r="C35" s="10">
        <f>C34*(1+'Escalation Sheet'!$C28)</f>
        <v>90.456754153042198</v>
      </c>
      <c r="D35" s="10">
        <f>D34*(1+'Escalation Sheet'!$C28)</f>
        <v>49.638698937965756</v>
      </c>
      <c r="E35" s="10"/>
      <c r="F35" s="10">
        <f>F34*(1+'Escalation Sheet'!$C28)</f>
        <v>210.20212779417517</v>
      </c>
      <c r="G35" s="10">
        <f>G34*(1+'Escalation Sheet'!$C28)</f>
        <v>102.07340649139034</v>
      </c>
      <c r="H35" s="10">
        <f>H34*(1+'Escalation Sheet'!$C28)</f>
        <v>2.1607463907127231</v>
      </c>
      <c r="I35" s="10">
        <f>I34*(1+'Escalation Sheet'!$C28)</f>
        <v>454.96031535163149</v>
      </c>
      <c r="K35" s="115">
        <f t="shared" si="2"/>
        <v>0.16</v>
      </c>
      <c r="L35" s="115">
        <f t="shared" si="3"/>
        <v>0.15</v>
      </c>
      <c r="M35" s="115">
        <f t="shared" si="4"/>
        <v>0.69</v>
      </c>
      <c r="O35" s="110">
        <f t="shared" si="0"/>
        <v>64.60142884534045</v>
      </c>
      <c r="P35" s="111">
        <f t="shared" si="1"/>
        <v>50.434266430368361</v>
      </c>
    </row>
    <row r="36" spans="1:16" x14ac:dyDescent="0.25">
      <c r="A36" s="4">
        <v>2048</v>
      </c>
      <c r="B36" s="10">
        <f>B35*(1+'Escalation Sheet'!$C29)</f>
        <v>106.68507134082151</v>
      </c>
      <c r="C36" s="10">
        <f>C35*(1+'Escalation Sheet'!$C29)</f>
        <v>92.005839833656097</v>
      </c>
      <c r="D36" s="10">
        <f>D35*(1+'Escalation Sheet'!$C29)</f>
        <v>50.488769211314391</v>
      </c>
      <c r="E36" s="10"/>
      <c r="F36" s="10">
        <f>F35*(1+'Escalation Sheet'!$C29)</f>
        <v>213.8018712212897</v>
      </c>
      <c r="G36" s="10">
        <f>G35*(1+'Escalation Sheet'!$C29)</f>
        <v>103.821429111125</v>
      </c>
      <c r="H36" s="10">
        <f>H35*(1+'Escalation Sheet'!$C29)</f>
        <v>2.1977495014768813</v>
      </c>
      <c r="I36" s="10">
        <f>I35*(1+'Escalation Sheet'!$C29)</f>
        <v>462.751579988061</v>
      </c>
      <c r="K36" s="115">
        <f t="shared" si="2"/>
        <v>0.16</v>
      </c>
      <c r="L36" s="115">
        <f t="shared" si="3"/>
        <v>0.15</v>
      </c>
      <c r="M36" s="115">
        <f t="shared" si="4"/>
        <v>0.69</v>
      </c>
      <c r="O36" s="110">
        <f t="shared" si="0"/>
        <v>65.707738145386784</v>
      </c>
      <c r="P36" s="111">
        <f t="shared" si="1"/>
        <v>51.297960918094148</v>
      </c>
    </row>
    <row r="37" spans="1:16" x14ac:dyDescent="0.25">
      <c r="A37" s="4">
        <v>2049</v>
      </c>
      <c r="B37" s="10">
        <f>B36*(1+'Escalation Sheet'!$C30)</f>
        <v>108.51206942290757</v>
      </c>
      <c r="C37" s="10">
        <f>C36*(1+'Escalation Sheet'!$C30)</f>
        <v>93.581453842290955</v>
      </c>
      <c r="D37" s="10">
        <f>D36*(1+'Escalation Sheet'!$C30)</f>
        <v>51.35339706745814</v>
      </c>
      <c r="E37" s="10"/>
      <c r="F37" s="10">
        <f>F36*(1+'Escalation Sheet'!$C30)</f>
        <v>217.46326080240391</v>
      </c>
      <c r="G37" s="10">
        <f>G36*(1+'Escalation Sheet'!$C30)</f>
        <v>105.59938688423736</v>
      </c>
      <c r="H37" s="10">
        <f>H36*(1+'Escalation Sheet'!$C30)</f>
        <v>2.2353862961440232</v>
      </c>
      <c r="I37" s="10">
        <f>I36*(1+'Escalation Sheet'!$C30)</f>
        <v>470.67627121706698</v>
      </c>
      <c r="K37" s="115">
        <f t="shared" si="2"/>
        <v>0.16</v>
      </c>
      <c r="L37" s="115">
        <f t="shared" si="3"/>
        <v>0.15</v>
      </c>
      <c r="M37" s="115">
        <f t="shared" si="4"/>
        <v>0.69</v>
      </c>
      <c r="O37" s="110">
        <f t="shared" si="0"/>
        <v>66.832993160554963</v>
      </c>
      <c r="P37" s="111">
        <f t="shared" si="1"/>
        <v>52.176446305359605</v>
      </c>
    </row>
    <row r="38" spans="1:16" x14ac:dyDescent="0.25">
      <c r="A38" s="4">
        <v>2050</v>
      </c>
      <c r="B38" s="10">
        <f>B37*(1+'Escalation Sheet'!$C31)</f>
        <v>110.37035512518263</v>
      </c>
      <c r="C38" s="10">
        <f>C37*(1+'Escalation Sheet'!$C31)</f>
        <v>95.184050480601215</v>
      </c>
      <c r="D38" s="10">
        <f>D37*(1+'Escalation Sheet'!$C31)</f>
        <v>52.232831807217742</v>
      </c>
      <c r="E38" s="10"/>
      <c r="F38" s="10">
        <f>F37*(1+'Escalation Sheet'!$C31)</f>
        <v>221.18735223728635</v>
      </c>
      <c r="G38" s="10">
        <f>G37*(1+'Escalation Sheet'!$C31)</f>
        <v>107.40779245478456</v>
      </c>
      <c r="H38" s="10">
        <f>H37*(1+'Escalation Sheet'!$C31)</f>
        <v>2.2736676266474216</v>
      </c>
      <c r="I38" s="10">
        <f>I37*(1+'Escalation Sheet'!$C31)</f>
        <v>478.7366739893522</v>
      </c>
      <c r="K38" s="115">
        <f t="shared" si="2"/>
        <v>0.16</v>
      </c>
      <c r="L38" s="115">
        <f t="shared" si="3"/>
        <v>0.15</v>
      </c>
      <c r="M38" s="115">
        <f t="shared" si="4"/>
        <v>0.69</v>
      </c>
      <c r="O38" s="110">
        <f t="shared" si="0"/>
        <v>67.977518339099646</v>
      </c>
      <c r="P38" s="111">
        <f t="shared" si="1"/>
        <v>53.06997588857022</v>
      </c>
    </row>
    <row r="39" spans="1:16" x14ac:dyDescent="0.25">
      <c r="A39" s="4">
        <v>2051</v>
      </c>
      <c r="B39" s="10">
        <f>B38*(1+'Escalation Sheet'!$C32)</f>
        <v>112.26046425290376</v>
      </c>
      <c r="C39" s="10">
        <f>C38*(1+'Escalation Sheet'!$C32)</f>
        <v>96.814091830226303</v>
      </c>
      <c r="D39" s="10">
        <f>D38*(1+'Escalation Sheet'!$C32)</f>
        <v>53.127327000728442</v>
      </c>
      <c r="E39" s="10"/>
      <c r="F39" s="10">
        <f>F38*(1+'Escalation Sheet'!$C32)</f>
        <v>224.97521930472479</v>
      </c>
      <c r="G39" s="10">
        <f>G38*(1+'Escalation Sheet'!$C32)</f>
        <v>109.24716724593121</v>
      </c>
      <c r="H39" s="10">
        <f>H38*(1+'Escalation Sheet'!$C32)</f>
        <v>2.3126045307613579</v>
      </c>
      <c r="I39" s="10">
        <f>I38*(1+'Escalation Sheet'!$C32)</f>
        <v>486.93511238574791</v>
      </c>
      <c r="K39" s="115">
        <f t="shared" si="2"/>
        <v>0.16</v>
      </c>
      <c r="L39" s="115">
        <f t="shared" si="3"/>
        <v>0.15</v>
      </c>
      <c r="M39" s="115">
        <f t="shared" si="4"/>
        <v>0.69</v>
      </c>
      <c r="O39" s="110">
        <f t="shared" si="0"/>
        <v>69.14164368550118</v>
      </c>
      <c r="P39" s="111">
        <f t="shared" si="1"/>
        <v>53.978807301870987</v>
      </c>
    </row>
    <row r="40" spans="1:16" x14ac:dyDescent="0.25">
      <c r="A40" s="4">
        <v>2052</v>
      </c>
      <c r="B40" s="10">
        <f>B39*(1+'Escalation Sheet'!$C33)</f>
        <v>114.18294178707464</v>
      </c>
      <c r="C40" s="10">
        <f>C39*(1+'Escalation Sheet'!$C33)</f>
        <v>98.472047886024029</v>
      </c>
      <c r="D40" s="10">
        <f>D39*(1+'Escalation Sheet'!$C33)</f>
        <v>54.037140560552629</v>
      </c>
      <c r="E40" s="10"/>
      <c r="F40" s="10">
        <f>F39*(1+'Escalation Sheet'!$C33)</f>
        <v>228.82795417213214</v>
      </c>
      <c r="G40" s="10">
        <f>G39*(1+'Escalation Sheet'!$C33)</f>
        <v>111.11804161029301</v>
      </c>
      <c r="H40" s="10">
        <f>H39*(1+'Escalation Sheet'!$C33)</f>
        <v>2.352208235283678</v>
      </c>
      <c r="I40" s="10">
        <f>I39*(1+'Escalation Sheet'!$C33)</f>
        <v>495.27395028732337</v>
      </c>
      <c r="K40" s="115">
        <f t="shared" si="2"/>
        <v>0.16</v>
      </c>
      <c r="L40" s="115">
        <f t="shared" si="3"/>
        <v>0.15</v>
      </c>
      <c r="M40" s="115">
        <f t="shared" si="4"/>
        <v>0.69</v>
      </c>
      <c r="O40" s="110">
        <f t="shared" si="0"/>
        <v>70.325704855616863</v>
      </c>
      <c r="P40" s="111">
        <f t="shared" si="1"/>
        <v>54.903202591430833</v>
      </c>
    </row>
    <row r="41" spans="1:16" x14ac:dyDescent="0.25">
      <c r="A41" s="4">
        <v>2053</v>
      </c>
      <c r="B41" s="10">
        <f>B40*(1+'Escalation Sheet'!$C34)</f>
        <v>116.13834204158155</v>
      </c>
      <c r="C41" s="10">
        <f>C40*(1+'Escalation Sheet'!$C34)</f>
        <v>100.15839669158568</v>
      </c>
      <c r="D41" s="10">
        <f>D40*(1+'Escalation Sheet'!$C34)</f>
        <v>54.962534816044574</v>
      </c>
      <c r="E41" s="10"/>
      <c r="F41" s="10">
        <f>F40*(1+'Escalation Sheet'!$C34)</f>
        <v>232.74666771045449</v>
      </c>
      <c r="G41" s="10">
        <f>G40*(1+'Escalation Sheet'!$C34)</f>
        <v>113.02095498285486</v>
      </c>
      <c r="H41" s="10">
        <f>H40*(1+'Escalation Sheet'!$C34)</f>
        <v>2.3924901592728496</v>
      </c>
      <c r="I41" s="10">
        <f>I40*(1+'Escalation Sheet'!$C34)</f>
        <v>503.75559205697084</v>
      </c>
      <c r="K41" s="115">
        <f t="shared" si="2"/>
        <v>0.16</v>
      </c>
      <c r="L41" s="115">
        <f t="shared" si="3"/>
        <v>0.15</v>
      </c>
      <c r="M41" s="115">
        <f t="shared" si="4"/>
        <v>0.69</v>
      </c>
      <c r="O41" s="110">
        <f t="shared" si="0"/>
        <v>71.530043253461656</v>
      </c>
      <c r="P41" s="111">
        <f t="shared" si="1"/>
        <v>55.843428290999221</v>
      </c>
    </row>
    <row r="42" spans="1:16" x14ac:dyDescent="0.25">
      <c r="A42" s="4">
        <v>2054</v>
      </c>
      <c r="B42" s="10">
        <f>B41*(1+'Escalation Sheet'!$C35)</f>
        <v>118.12722882302045</v>
      </c>
      <c r="C42" s="10">
        <f>C41*(1+'Escalation Sheet'!$C35)</f>
        <v>101.87362447707177</v>
      </c>
      <c r="D42" s="10">
        <f>D41*(1+'Escalation Sheet'!$C35)</f>
        <v>55.90377658898867</v>
      </c>
      <c r="E42" s="10"/>
      <c r="F42" s="10">
        <f>F41*(1+'Escalation Sheet'!$C35)</f>
        <v>236.73248981447193</v>
      </c>
      <c r="G42" s="10">
        <f>G41*(1+'Escalation Sheet'!$C35)</f>
        <v>114.95645603650792</v>
      </c>
      <c r="H42" s="10">
        <f>H41*(1+'Escalation Sheet'!$C35)</f>
        <v>2.4334619173404541</v>
      </c>
      <c r="I42" s="10">
        <f>I41*(1+'Escalation Sheet'!$C35)</f>
        <v>512.38248323266293</v>
      </c>
      <c r="K42" s="115">
        <f t="shared" si="2"/>
        <v>0.16</v>
      </c>
      <c r="L42" s="115">
        <f t="shared" si="3"/>
        <v>0.15</v>
      </c>
      <c r="M42" s="115">
        <f t="shared" si="4"/>
        <v>0.69</v>
      </c>
      <c r="O42" s="110">
        <f t="shared" ref="O42:O73" si="5">B42*K42+C42*L42+D42*M42</f>
        <v>72.755006129646219</v>
      </c>
      <c r="P42" s="111">
        <f t="shared" si="1"/>
        <v>56.79975549875661</v>
      </c>
    </row>
    <row r="43" spans="1:16" x14ac:dyDescent="0.25">
      <c r="A43" s="4">
        <v>2055</v>
      </c>
      <c r="B43" s="10">
        <f>B42*(1+'Escalation Sheet'!$C36)</f>
        <v>120.15017559326103</v>
      </c>
      <c r="C43" s="10">
        <f>C42*(1+'Escalation Sheet'!$C36)</f>
        <v>103.61822579940832</v>
      </c>
      <c r="D43" s="10">
        <f>D42*(1+'Escalation Sheet'!$C36)</f>
        <v>56.861137270532964</v>
      </c>
      <c r="E43" s="10"/>
      <c r="F43" s="10">
        <f>F42*(1+'Escalation Sheet'!$C36)</f>
        <v>240.78656972858457</v>
      </c>
      <c r="G43" s="10">
        <f>G42*(1+'Escalation Sheet'!$C36)</f>
        <v>116.92510284025006</v>
      </c>
      <c r="H43" s="10">
        <f>H42*(1+'Escalation Sheet'!$C36)</f>
        <v>2.4751353230000643</v>
      </c>
      <c r="I43" s="10">
        <f>I42*(1+'Escalation Sheet'!$C36)</f>
        <v>521.15711123258234</v>
      </c>
      <c r="K43" s="115">
        <f t="shared" si="2"/>
        <v>0.16</v>
      </c>
      <c r="L43" s="115">
        <f t="shared" si="3"/>
        <v>0.15</v>
      </c>
      <c r="M43" s="115">
        <f t="shared" si="4"/>
        <v>0.69</v>
      </c>
      <c r="O43" s="110">
        <f t="shared" si="5"/>
        <v>74.00094668150075</v>
      </c>
      <c r="P43" s="111">
        <f t="shared" si="1"/>
        <v>57.772459955481082</v>
      </c>
    </row>
    <row r="44" spans="1:16" x14ac:dyDescent="0.25">
      <c r="A44" s="4">
        <v>2056</v>
      </c>
      <c r="B44" s="10">
        <f>B43*(1+'Escalation Sheet'!$C37)</f>
        <v>122.20776563479477</v>
      </c>
      <c r="C44" s="10">
        <f>C43*(1+'Escalation Sheet'!$C37)</f>
        <v>105.39270368488397</v>
      </c>
      <c r="D44" s="10">
        <f>D43*(1+'Escalation Sheet'!$C37)</f>
        <v>57.834892899440213</v>
      </c>
      <c r="E44" s="10"/>
      <c r="F44" s="10">
        <f>F43*(1+'Escalation Sheet'!$C37)</f>
        <v>244.91007637817782</v>
      </c>
      <c r="G44" s="10">
        <f>G43*(1+'Escalation Sheet'!$C37)</f>
        <v>118.92746302009571</v>
      </c>
      <c r="H44" s="10">
        <f>H43*(1+'Escalation Sheet'!$C37)</f>
        <v>2.5175223920734697</v>
      </c>
      <c r="I44" s="10">
        <f>I43*(1+'Escalation Sheet'!$C37)</f>
        <v>530.08200607232652</v>
      </c>
      <c r="K44" s="115">
        <f t="shared" si="2"/>
        <v>0.16</v>
      </c>
      <c r="L44" s="115">
        <f t="shared" si="3"/>
        <v>0.15</v>
      </c>
      <c r="M44" s="115">
        <f t="shared" si="4"/>
        <v>0.69</v>
      </c>
      <c r="O44" s="110">
        <f t="shared" si="5"/>
        <v>75.268224154913497</v>
      </c>
      <c r="P44" s="111">
        <f t="shared" si="1"/>
        <v>58.761822124053502</v>
      </c>
    </row>
    <row r="45" spans="1:16" x14ac:dyDescent="0.25">
      <c r="A45" s="4">
        <v>2057</v>
      </c>
      <c r="B45" s="10">
        <f>B44*(1+'Escalation Sheet'!$C38)</f>
        <v>124.30059221891462</v>
      </c>
      <c r="C45" s="10">
        <f>C44*(1+'Escalation Sheet'!$C38)</f>
        <v>107.19756977418911</v>
      </c>
      <c r="D45" s="10">
        <f>D44*(1+'Escalation Sheet'!$C38)</f>
        <v>58.825324241678999</v>
      </c>
      <c r="E45" s="10"/>
      <c r="F45" s="10">
        <f>F44*(1+'Escalation Sheet'!$C38)</f>
        <v>249.10419870666215</v>
      </c>
      <c r="G45" s="10">
        <f>G44*(1+'Escalation Sheet'!$C38)</f>
        <v>120.96411392274115</v>
      </c>
      <c r="H45" s="10">
        <f>H44*(1+'Escalation Sheet'!$C38)</f>
        <v>2.5606353461552374</v>
      </c>
      <c r="I45" s="10">
        <f>I44*(1+'Escalation Sheet'!$C38)</f>
        <v>539.15974109439526</v>
      </c>
      <c r="K45" s="115">
        <f t="shared" si="2"/>
        <v>0.16</v>
      </c>
      <c r="L45" s="115">
        <f t="shared" si="3"/>
        <v>0.15</v>
      </c>
      <c r="M45" s="115">
        <f t="shared" si="4"/>
        <v>0.69</v>
      </c>
      <c r="O45" s="110">
        <f t="shared" si="5"/>
        <v>76.557203947913223</v>
      </c>
      <c r="P45" s="111">
        <f t="shared" si="1"/>
        <v>59.768127270324221</v>
      </c>
    </row>
    <row r="46" spans="1:16" x14ac:dyDescent="0.25">
      <c r="A46" s="4">
        <v>2058</v>
      </c>
      <c r="B46" s="10">
        <f>B45*(1+'Escalation Sheet'!$C39)</f>
        <v>126.42925877677466</v>
      </c>
      <c r="C46" s="10">
        <f>C45*(1+'Escalation Sheet'!$C39)</f>
        <v>109.0333444699388</v>
      </c>
      <c r="D46" s="10">
        <f>D45*(1+'Escalation Sheet'!$C39)</f>
        <v>59.832716871377841</v>
      </c>
      <c r="E46" s="10"/>
      <c r="F46" s="10">
        <f>F45*(1+'Escalation Sheet'!$C39)</f>
        <v>253.37014601828488</v>
      </c>
      <c r="G46" s="10">
        <f>G45*(1+'Escalation Sheet'!$C39)</f>
        <v>123.03564278203268</v>
      </c>
      <c r="H46" s="10">
        <f>H45*(1+'Escalation Sheet'!$C39)</f>
        <v>2.6044866161366009</v>
      </c>
      <c r="I46" s="10">
        <f>I45*(1+'Escalation Sheet'!$C39)</f>
        <v>548.39293371017004</v>
      </c>
      <c r="K46" s="115">
        <f t="shared" si="2"/>
        <v>0.16</v>
      </c>
      <c r="L46" s="115">
        <f t="shared" si="3"/>
        <v>0.15</v>
      </c>
      <c r="M46" s="115">
        <f t="shared" si="4"/>
        <v>0.69</v>
      </c>
      <c r="O46" s="110">
        <f t="shared" si="5"/>
        <v>77.868257716025482</v>
      </c>
      <c r="P46" s="111">
        <f t="shared" si="1"/>
        <v>60.791665545364737</v>
      </c>
    </row>
    <row r="47" spans="1:16" x14ac:dyDescent="0.25">
      <c r="A47" s="4">
        <v>2059</v>
      </c>
      <c r="B47" s="10">
        <f>B46*(1+'Escalation Sheet'!$C40)</f>
        <v>128.59437907337934</v>
      </c>
      <c r="C47" s="10">
        <f>C46*(1+'Escalation Sheet'!$C40)</f>
        <v>110.90055708672209</v>
      </c>
      <c r="D47" s="10">
        <f>D46*(1+'Escalation Sheet'!$C40)</f>
        <v>60.857361253165664</v>
      </c>
      <c r="E47" s="10"/>
      <c r="F47" s="10">
        <f>F46*(1+'Escalation Sheet'!$C40)</f>
        <v>257.70914832681262</v>
      </c>
      <c r="G47" s="10">
        <f>G46*(1+'Escalation Sheet'!$C40)</f>
        <v>125.14264688828564</v>
      </c>
      <c r="H47" s="10">
        <f>H46*(1+'Escalation Sheet'!$C40)</f>
        <v>2.6490888457896982</v>
      </c>
      <c r="I47" s="10">
        <f>I46*(1+'Escalation Sheet'!$C40)</f>
        <v>557.78424615460074</v>
      </c>
      <c r="K47" s="115">
        <f t="shared" si="2"/>
        <v>0.16</v>
      </c>
      <c r="L47" s="115">
        <f t="shared" si="3"/>
        <v>0.15</v>
      </c>
      <c r="M47" s="115">
        <f t="shared" si="4"/>
        <v>0.69</v>
      </c>
      <c r="O47" s="110">
        <f t="shared" si="5"/>
        <v>79.201763479433311</v>
      </c>
      <c r="P47" s="111">
        <f t="shared" si="1"/>
        <v>61.832732069127758</v>
      </c>
    </row>
    <row r="48" spans="1:16" x14ac:dyDescent="0.25">
      <c r="A48" s="4">
        <v>2060</v>
      </c>
      <c r="B48" s="10">
        <f>B47*(1+'Escalation Sheet'!$C41)</f>
        <v>130.79657738455219</v>
      </c>
      <c r="C48" s="10">
        <f>C47*(1+'Escalation Sheet'!$C41)</f>
        <v>112.79974600372091</v>
      </c>
      <c r="D48" s="10">
        <f>D47*(1+'Escalation Sheet'!$C41)</f>
        <v>61.89955282592237</v>
      </c>
      <c r="E48" s="10"/>
      <c r="F48" s="10">
        <f>F47*(1+'Escalation Sheet'!$C41)</f>
        <v>262.12245671018491</v>
      </c>
      <c r="G48" s="10">
        <f>G47*(1+'Escalation Sheet'!$C41)</f>
        <v>127.28573376050285</v>
      </c>
      <c r="H48" s="10">
        <f>H47*(1+'Escalation Sheet'!$C41)</f>
        <v>2.6944548954131888</v>
      </c>
      <c r="I48" s="10">
        <f>I47*(1+'Escalation Sheet'!$C41)</f>
        <v>567.33638625381582</v>
      </c>
      <c r="K48" s="115">
        <f t="shared" si="2"/>
        <v>0.16</v>
      </c>
      <c r="L48" s="115">
        <f t="shared" si="3"/>
        <v>0.15</v>
      </c>
      <c r="M48" s="115">
        <f t="shared" si="4"/>
        <v>0.69</v>
      </c>
      <c r="O48" s="110">
        <f t="shared" si="5"/>
        <v>80.558105731972915</v>
      </c>
      <c r="P48" s="111">
        <f t="shared" si="1"/>
        <v>62.891627015540116</v>
      </c>
    </row>
    <row r="49" spans="1:16" x14ac:dyDescent="0.25">
      <c r="A49" s="4">
        <v>2061</v>
      </c>
      <c r="B49" s="10">
        <f>B48*(1+'Escalation Sheet'!$C42)</f>
        <v>133.03648867693525</v>
      </c>
      <c r="C49" s="10">
        <f>C48*(1+'Escalation Sheet'!$C42)</f>
        <v>114.73145881994263</v>
      </c>
      <c r="D49" s="10">
        <f>D48*(1+'Escalation Sheet'!$C42)</f>
        <v>62.959592087963649</v>
      </c>
      <c r="E49" s="10"/>
      <c r="F49" s="10">
        <f>F48*(1+'Escalation Sheet'!$C42)</f>
        <v>266.6113436712414</v>
      </c>
      <c r="G49" s="10">
        <f>G48*(1+'Escalation Sheet'!$C42)</f>
        <v>129.46552132154255</v>
      </c>
      <c r="H49" s="10">
        <f>H48*(1+'Escalation Sheet'!$C42)</f>
        <v>2.7405978455403046</v>
      </c>
      <c r="I49" s="10">
        <f>I48*(1+'Escalation Sheet'!$C42)</f>
        <v>577.0521082058782</v>
      </c>
      <c r="K49" s="115">
        <f t="shared" si="2"/>
        <v>0.16</v>
      </c>
      <c r="L49" s="115">
        <f t="shared" si="3"/>
        <v>0.15</v>
      </c>
      <c r="M49" s="115">
        <f t="shared" si="4"/>
        <v>0.69</v>
      </c>
      <c r="O49" s="110">
        <f t="shared" si="5"/>
        <v>81.937675551995937</v>
      </c>
      <c r="P49" s="111">
        <f t="shared" si="1"/>
        <v>63.968655699052817</v>
      </c>
    </row>
    <row r="50" spans="1:16" x14ac:dyDescent="0.25">
      <c r="A50" s="4">
        <v>2062</v>
      </c>
      <c r="B50" s="10">
        <f>B49*(1+'Escalation Sheet'!$C43)</f>
        <v>135.31475879107091</v>
      </c>
      <c r="C50" s="10">
        <f>C49*(1+'Escalation Sheet'!$C43)</f>
        <v>116.69625251211093</v>
      </c>
      <c r="D50" s="10">
        <f>D49*(1+'Escalation Sheet'!$C43)</f>
        <v>64.037784683684563</v>
      </c>
      <c r="E50" s="10"/>
      <c r="F50" s="10">
        <f>F49*(1+'Escalation Sheet'!$C43)</f>
        <v>271.17710350462653</v>
      </c>
      <c r="G50" s="10">
        <f>G49*(1+'Escalation Sheet'!$C43)</f>
        <v>131.68263807628597</v>
      </c>
      <c r="H50" s="10">
        <f>H49*(1+'Escalation Sheet'!$C43)</f>
        <v>2.7875310007103988</v>
      </c>
      <c r="I50" s="10">
        <f>I49*(1+'Escalation Sheet'!$C43)</f>
        <v>586.93421337491191</v>
      </c>
      <c r="K50" s="115">
        <f t="shared" si="2"/>
        <v>0.16</v>
      </c>
      <c r="L50" s="115">
        <f t="shared" si="3"/>
        <v>0.15</v>
      </c>
      <c r="M50" s="115">
        <f t="shared" si="4"/>
        <v>0.69</v>
      </c>
      <c r="O50" s="110">
        <f t="shared" si="5"/>
        <v>83.340870715130336</v>
      </c>
      <c r="P50" s="111">
        <f t="shared" si="1"/>
        <v>65.064128662673312</v>
      </c>
    </row>
    <row r="51" spans="1:16" x14ac:dyDescent="0.25">
      <c r="A51" s="4">
        <v>2063</v>
      </c>
      <c r="B51" s="10">
        <f>B50*(1+'Escalation Sheet'!$C44)</f>
        <v>137.63204462761917</v>
      </c>
      <c r="C51" s="10">
        <f>C50*(1+'Escalation Sheet'!$C44)</f>
        <v>118.69469359526066</v>
      </c>
      <c r="D51" s="10">
        <f>D50*(1+'Escalation Sheet'!$C44)</f>
        <v>65.134441491686943</v>
      </c>
      <c r="E51" s="10"/>
      <c r="F51" s="10">
        <f>F50*(1+'Escalation Sheet'!$C44)</f>
        <v>275.82105266997741</v>
      </c>
      <c r="G51" s="10">
        <f>G50*(1+'Escalation Sheet'!$C44)</f>
        <v>133.93772329285602</v>
      </c>
      <c r="H51" s="10">
        <f>H50*(1+'Escalation Sheet'!$C44)</f>
        <v>2.8352678933050863</v>
      </c>
      <c r="I51" s="10">
        <f>I50*(1+'Escalation Sheet'!$C44)</f>
        <v>596.98555109882784</v>
      </c>
      <c r="K51" s="115">
        <f t="shared" si="2"/>
        <v>0.16</v>
      </c>
      <c r="L51" s="115">
        <f t="shared" si="3"/>
        <v>0.15</v>
      </c>
      <c r="M51" s="115">
        <f t="shared" si="4"/>
        <v>0.69</v>
      </c>
      <c r="O51" s="110">
        <f t="shared" si="5"/>
        <v>84.768095808972149</v>
      </c>
      <c r="P51" s="111">
        <f t="shared" si="1"/>
        <v>66.178361767505294</v>
      </c>
    </row>
    <row r="52" spans="1:16" x14ac:dyDescent="0.25">
      <c r="A52" s="4">
        <v>2064</v>
      </c>
      <c r="B52" s="10">
        <f>B51*(1+'Escalation Sheet'!$C45)</f>
        <v>139.98901433676374</v>
      </c>
      <c r="C52" s="10">
        <f>C51*(1+'Escalation Sheet'!$C45)</f>
        <v>120.72735828608285</v>
      </c>
      <c r="D52" s="10">
        <f>D51*(1+'Escalation Sheet'!$C45)</f>
        <v>66.249878714416013</v>
      </c>
      <c r="E52" s="10"/>
      <c r="F52" s="10">
        <f>F51*(1+'Escalation Sheet'!$C45)</f>
        <v>280.54453017150286</v>
      </c>
      <c r="G52" s="10">
        <f>G51*(1+'Escalation Sheet'!$C45)</f>
        <v>136.23142718693956</v>
      </c>
      <c r="H52" s="10">
        <f>H51*(1+'Escalation Sheet'!$C45)</f>
        <v>2.8838222874500761</v>
      </c>
      <c r="I52" s="10">
        <f>I51*(1+'Escalation Sheet'!$C45)</f>
        <v>607.20901951088217</v>
      </c>
      <c r="K52" s="115">
        <f t="shared" si="2"/>
        <v>0.16</v>
      </c>
      <c r="L52" s="115">
        <f t="shared" si="3"/>
        <v>0.15</v>
      </c>
      <c r="M52" s="115">
        <f t="shared" si="4"/>
        <v>0.69</v>
      </c>
      <c r="O52" s="110">
        <f t="shared" si="5"/>
        <v>86.219762349741671</v>
      </c>
      <c r="P52" s="111">
        <f t="shared" si="1"/>
        <v>67.311676283821953</v>
      </c>
    </row>
    <row r="53" spans="1:16" x14ac:dyDescent="0.25">
      <c r="A53" s="4">
        <v>2065</v>
      </c>
      <c r="B53" s="10">
        <f>B52*(1+'Escalation Sheet'!$C46)</f>
        <v>142.38634751086195</v>
      </c>
      <c r="C53" s="10">
        <f>C52*(1+'Escalation Sheet'!$C46)</f>
        <v>122.79483266906705</v>
      </c>
      <c r="D53" s="10">
        <f>D52*(1+'Escalation Sheet'!$C46)</f>
        <v>67.384417969331977</v>
      </c>
      <c r="E53" s="10"/>
      <c r="F53" s="10">
        <f>F52*(1+'Escalation Sheet'!$C46)</f>
        <v>285.34889794406251</v>
      </c>
      <c r="G53" s="10">
        <f>G52*(1+'Escalation Sheet'!$C46)</f>
        <v>138.56441110926599</v>
      </c>
      <c r="H53" s="10">
        <f>H52*(1+'Escalation Sheet'!$C46)</f>
        <v>2.933208182983825</v>
      </c>
      <c r="I53" s="10">
        <f>I52*(1+'Escalation Sheet'!$C46)</f>
        <v>617.60756637530426</v>
      </c>
      <c r="K53" s="115">
        <f t="shared" si="2"/>
        <v>0.16</v>
      </c>
      <c r="L53" s="115">
        <f t="shared" si="3"/>
        <v>0.15</v>
      </c>
      <c r="M53" s="115">
        <f t="shared" si="4"/>
        <v>0.69</v>
      </c>
      <c r="O53" s="110">
        <f t="shared" si="5"/>
        <v>87.69628890093702</v>
      </c>
      <c r="P53" s="111">
        <f t="shared" si="1"/>
        <v>68.464398983698729</v>
      </c>
    </row>
    <row r="54" spans="1:16" x14ac:dyDescent="0.25">
      <c r="A54" s="4">
        <v>2066</v>
      </c>
      <c r="B54" s="10">
        <f>B53*(1+'Escalation Sheet'!$C47)</f>
        <v>144.82473538039366</v>
      </c>
      <c r="C54" s="10">
        <f>C53*(1+'Escalation Sheet'!$C47)</f>
        <v>124.89771286548888</v>
      </c>
      <c r="D54" s="10">
        <f>D53*(1+'Escalation Sheet'!$C47)</f>
        <v>68.538386381642994</v>
      </c>
      <c r="E54" s="10"/>
      <c r="F54" s="10">
        <f>F53*(1+'Escalation Sheet'!$C47)</f>
        <v>290.23554124585775</v>
      </c>
      <c r="G54" s="10">
        <f>G53*(1+'Escalation Sheet'!$C47)</f>
        <v>140.93734773629666</v>
      </c>
      <c r="H54" s="10">
        <f>H53*(1+'Escalation Sheet'!$C47)</f>
        <v>2.9834398194941536</v>
      </c>
      <c r="I54" s="10">
        <f>I53*(1+'Escalation Sheet'!$C47)</f>
        <v>628.18418993723435</v>
      </c>
      <c r="K54" s="115">
        <f t="shared" si="2"/>
        <v>0.16</v>
      </c>
      <c r="L54" s="115">
        <f t="shared" si="3"/>
        <v>0.15</v>
      </c>
      <c r="M54" s="115">
        <f t="shared" si="4"/>
        <v>0.69</v>
      </c>
      <c r="O54" s="110">
        <f t="shared" si="5"/>
        <v>89.198101194019983</v>
      </c>
      <c r="P54" s="111">
        <f t="shared" si="1"/>
        <v>69.636862235232712</v>
      </c>
    </row>
    <row r="55" spans="1:16" x14ac:dyDescent="0.25">
      <c r="A55" s="4">
        <v>2067</v>
      </c>
      <c r="B55" s="10">
        <f>B54*(1+'Escalation Sheet'!$C48)</f>
        <v>147.30488101326588</v>
      </c>
      <c r="C55" s="10">
        <f>C54*(1+'Escalation Sheet'!$C48)</f>
        <v>127.03660520529155</v>
      </c>
      <c r="D55" s="10">
        <f>D54*(1+'Escalation Sheet'!$C48)</f>
        <v>69.712116678626188</v>
      </c>
      <c r="E55" s="10"/>
      <c r="F55" s="10">
        <f>F54*(1+'Escalation Sheet'!$C48)</f>
        <v>295.20586905784745</v>
      </c>
      <c r="G55" s="10">
        <f>G54*(1+'Escalation Sheet'!$C48)</f>
        <v>143.35092126417962</v>
      </c>
      <c r="H55" s="10">
        <f>H54*(1+'Escalation Sheet'!$C48)</f>
        <v>3.0345316804239908</v>
      </c>
      <c r="I55" s="10">
        <f>I54*(1+'Escalation Sheet'!$C48)</f>
        <v>638.94193978721705</v>
      </c>
      <c r="K55" s="115">
        <f t="shared" si="2"/>
        <v>0.16</v>
      </c>
      <c r="L55" s="115">
        <f t="shared" si="3"/>
        <v>0.15</v>
      </c>
      <c r="M55" s="115">
        <f t="shared" si="4"/>
        <v>0.69</v>
      </c>
      <c r="O55" s="110">
        <f t="shared" si="5"/>
        <v>90.725632251168349</v>
      </c>
      <c r="P55" s="111">
        <f t="shared" si="1"/>
        <v>70.829404098375093</v>
      </c>
    </row>
    <row r="56" spans="1:16" x14ac:dyDescent="0.25">
      <c r="A56" s="4">
        <v>2068</v>
      </c>
      <c r="B56" s="10">
        <f>B55*(1+'Escalation Sheet'!$C49)</f>
        <v>149.82749951753055</v>
      </c>
      <c r="C56" s="10">
        <f>C55*(1+'Escalation Sheet'!$C49)</f>
        <v>129.21212640191078</v>
      </c>
      <c r="D56" s="10">
        <f>D55*(1+'Escalation Sheet'!$C49)</f>
        <v>70.90594728556394</v>
      </c>
      <c r="E56" s="10"/>
      <c r="F56" s="10">
        <f>F55*(1+'Escalation Sheet'!$C49)</f>
        <v>300.26131449000388</v>
      </c>
      <c r="G56" s="10">
        <f>G55*(1+'Escalation Sheet'!$C49)</f>
        <v>145.8058276060261</v>
      </c>
      <c r="H56" s="10">
        <f>H55*(1+'Escalation Sheet'!$C49)</f>
        <v>3.0864984972474301</v>
      </c>
      <c r="I56" s="10">
        <f>I55*(1+'Escalation Sheet'!$C49)</f>
        <v>649.8839177404991</v>
      </c>
      <c r="K56" s="115">
        <f t="shared" si="2"/>
        <v>0.16</v>
      </c>
      <c r="L56" s="115">
        <f t="shared" si="3"/>
        <v>0.15</v>
      </c>
      <c r="M56" s="115">
        <f t="shared" si="4"/>
        <v>0.69</v>
      </c>
      <c r="O56" s="110">
        <f t="shared" si="5"/>
        <v>92.279322510130612</v>
      </c>
      <c r="P56" s="111">
        <f t="shared" si="1"/>
        <v>72.042368422405261</v>
      </c>
    </row>
    <row r="57" spans="1:16" x14ac:dyDescent="0.25">
      <c r="A57" s="4">
        <v>2069</v>
      </c>
      <c r="B57" s="10">
        <f>B56*(1+'Escalation Sheet'!$C50)</f>
        <v>152.3933182475738</v>
      </c>
      <c r="C57" s="10">
        <f>C56*(1+'Escalation Sheet'!$C50)</f>
        <v>131.42490373009375</v>
      </c>
      <c r="D57" s="10">
        <f>D56*(1+'Escalation Sheet'!$C50)</f>
        <v>72.120222423323099</v>
      </c>
      <c r="E57" s="10"/>
      <c r="F57" s="10">
        <f>F56*(1+'Escalation Sheet'!$C50)</f>
        <v>305.4033351945256</v>
      </c>
      <c r="G57" s="10">
        <f>G56*(1+'Escalation Sheet'!$C50)</f>
        <v>148.30277459256527</v>
      </c>
      <c r="H57" s="10">
        <f>H56*(1+'Escalation Sheet'!$C50)</f>
        <v>3.1393552537173006</v>
      </c>
      <c r="I57" s="10">
        <f>I56*(1+'Escalation Sheet'!$C50)</f>
        <v>661.01327873138553</v>
      </c>
      <c r="K57" s="115">
        <f t="shared" si="2"/>
        <v>0.16</v>
      </c>
      <c r="L57" s="115">
        <f t="shared" si="3"/>
        <v>0.15</v>
      </c>
      <c r="M57" s="115">
        <f t="shared" si="4"/>
        <v>0.69</v>
      </c>
      <c r="O57" s="110">
        <f t="shared" si="5"/>
        <v>93.859619951218804</v>
      </c>
      <c r="P57" s="111">
        <f t="shared" si="1"/>
        <v>73.276104945073826</v>
      </c>
    </row>
    <row r="58" spans="1:16" x14ac:dyDescent="0.25">
      <c r="A58" s="4">
        <v>2070</v>
      </c>
      <c r="B58" s="10">
        <f>B57*(1+'Escalation Sheet'!$C51)</f>
        <v>155.0030770138363</v>
      </c>
      <c r="C58" s="10">
        <f>C57*(1+'Escalation Sheet'!$C51)</f>
        <v>133.67557520676314</v>
      </c>
      <c r="D58" s="10">
        <f>D57*(1+'Escalation Sheet'!$C51)</f>
        <v>73.355292207605231</v>
      </c>
      <c r="E58" s="10"/>
      <c r="F58" s="10">
        <f>F57*(1+'Escalation Sheet'!$C51)</f>
        <v>310.63341378612688</v>
      </c>
      <c r="G58" s="10">
        <f>G57*(1+'Escalation Sheet'!$C51)</f>
        <v>150.84248217623528</v>
      </c>
      <c r="H58" s="10">
        <f>H57*(1+'Escalation Sheet'!$C51)</f>
        <v>3.1931171901854789</v>
      </c>
      <c r="I58" s="10">
        <f>I57*(1+'Escalation Sheet'!$C51)</f>
        <v>672.33323172291125</v>
      </c>
      <c r="K58" s="115">
        <f t="shared" si="2"/>
        <v>0.16</v>
      </c>
      <c r="L58" s="115">
        <f t="shared" si="3"/>
        <v>0.15</v>
      </c>
      <c r="M58" s="115">
        <f t="shared" si="4"/>
        <v>0.69</v>
      </c>
      <c r="O58" s="110">
        <f t="shared" si="5"/>
        <v>95.466980226475897</v>
      </c>
      <c r="P58" s="111">
        <f t="shared" si="1"/>
        <v>74.530969393443584</v>
      </c>
    </row>
    <row r="59" spans="1:16" x14ac:dyDescent="0.25">
      <c r="A59" s="4">
        <v>2071</v>
      </c>
      <c r="B59" s="10">
        <f>B58*(1+'Escalation Sheet'!$C52)</f>
        <v>157.65752829612512</v>
      </c>
      <c r="C59" s="10">
        <f>C58*(1+'Escalation Sheet'!$C52)</f>
        <v>135.96478977497856</v>
      </c>
      <c r="D59" s="10">
        <f>D58*(1+'Escalation Sheet'!$C52)</f>
        <v>74.611512749896576</v>
      </c>
      <c r="E59" s="10"/>
      <c r="F59" s="10">
        <f>F58*(1+'Escalation Sheet'!$C52)</f>
        <v>315.95305826952466</v>
      </c>
      <c r="G59" s="10">
        <f>G58*(1+'Escalation Sheet'!$C52)</f>
        <v>153.42568263876927</v>
      </c>
      <c r="H59" s="10">
        <f>H58*(1+'Escalation Sheet'!$C52)</f>
        <v>3.2477998079971866</v>
      </c>
      <c r="I59" s="10">
        <f>I58*(1+'Escalation Sheet'!$C52)</f>
        <v>683.84704063209153</v>
      </c>
      <c r="K59" s="115">
        <f t="shared" si="2"/>
        <v>0.16</v>
      </c>
      <c r="L59" s="115">
        <f t="shared" si="3"/>
        <v>0.15</v>
      </c>
      <c r="M59" s="115">
        <f t="shared" si="4"/>
        <v>0.69</v>
      </c>
      <c r="O59" s="110">
        <f t="shared" si="5"/>
        <v>97.101866791055443</v>
      </c>
      <c r="P59" s="111">
        <f t="shared" si="1"/>
        <v>75.8073235864574</v>
      </c>
    </row>
    <row r="60" spans="1:16" x14ac:dyDescent="0.25">
      <c r="A60" s="4">
        <v>2072</v>
      </c>
      <c r="B60" s="10">
        <f>B59*(1+'Escalation Sheet'!$C53)</f>
        <v>160.35743746057852</v>
      </c>
      <c r="C60" s="10">
        <f>C59*(1+'Escalation Sheet'!$C53)</f>
        <v>138.29320749104818</v>
      </c>
      <c r="D60" s="10">
        <f>D59*(1+'Escalation Sheet'!$C53)</f>
        <v>75.889246260146777</v>
      </c>
      <c r="E60" s="10"/>
      <c r="F60" s="10">
        <f>F59*(1+'Escalation Sheet'!$C53)</f>
        <v>321.36380247424614</v>
      </c>
      <c r="G60" s="10">
        <f>G59*(1+'Escalation Sheet'!$C53)</f>
        <v>156.05312080233659</v>
      </c>
      <c r="H60" s="10">
        <f>H59*(1+'Escalation Sheet'!$C53)</f>
        <v>3.3034188739605415</v>
      </c>
      <c r="I60" s="10">
        <f>I59*(1+'Escalation Sheet'!$C53)</f>
        <v>695.5580252710173</v>
      </c>
      <c r="K60" s="115">
        <f t="shared" si="2"/>
        <v>0.16</v>
      </c>
      <c r="L60" s="115">
        <f t="shared" si="3"/>
        <v>0.15</v>
      </c>
      <c r="M60" s="115">
        <f t="shared" si="4"/>
        <v>0.69</v>
      </c>
      <c r="O60" s="110">
        <f t="shared" si="5"/>
        <v>98.764751036851067</v>
      </c>
      <c r="P60" s="111">
        <f t="shared" si="1"/>
        <v>77.105535539262647</v>
      </c>
    </row>
    <row r="61" spans="1:16" x14ac:dyDescent="0.25">
      <c r="A61" s="4">
        <v>2073</v>
      </c>
      <c r="B61" s="10">
        <f>B60*(1+'Escalation Sheet'!$C54)</f>
        <v>163.1035829803464</v>
      </c>
      <c r="C61" s="10">
        <f>C60*(1+'Escalation Sheet'!$C54)</f>
        <v>140.66149971484498</v>
      </c>
      <c r="D61" s="10">
        <f>D60*(1+'Escalation Sheet'!$C54)</f>
        <v>77.188861151205984</v>
      </c>
      <c r="E61" s="10"/>
      <c r="F61" s="10">
        <f>F60*(1+'Escalation Sheet'!$C54)</f>
        <v>326.8672064968826</v>
      </c>
      <c r="G61" s="10">
        <f>G60*(1+'Escalation Sheet'!$C54)</f>
        <v>158.72555424429953</v>
      </c>
      <c r="H61" s="10">
        <f>H60*(1+'Escalation Sheet'!$C54)</f>
        <v>3.3599904248926493</v>
      </c>
      <c r="I61" s="10">
        <f>I60*(1+'Escalation Sheet'!$C54)</f>
        <v>707.46956230406681</v>
      </c>
      <c r="K61" s="115">
        <f t="shared" si="2"/>
        <v>0.16</v>
      </c>
      <c r="L61" s="115">
        <f t="shared" si="3"/>
        <v>0.15</v>
      </c>
      <c r="M61" s="115">
        <f t="shared" si="4"/>
        <v>0.69</v>
      </c>
      <c r="O61" s="110">
        <f t="shared" si="5"/>
        <v>100.45611242841429</v>
      </c>
      <c r="P61" s="111">
        <f t="shared" si="1"/>
        <v>78.425979569322067</v>
      </c>
    </row>
    <row r="62" spans="1:16" x14ac:dyDescent="0.25">
      <c r="A62" s="4">
        <v>2074</v>
      </c>
      <c r="B62" s="10">
        <f>B61*(1+'Escalation Sheet'!$C55)</f>
        <v>165.89675666004976</v>
      </c>
      <c r="C62" s="10">
        <f>C61*(1+'Escalation Sheet'!$C55)</f>
        <v>143.0703493033819</v>
      </c>
      <c r="D62" s="10">
        <f>D61*(1+'Escalation Sheet'!$C55)</f>
        <v>78.510732145050468</v>
      </c>
      <c r="E62" s="10"/>
      <c r="F62" s="10">
        <f>F61*(1+'Escalation Sheet'!$C55)</f>
        <v>332.46485715091683</v>
      </c>
      <c r="G62" s="10">
        <f>G61*(1+'Escalation Sheet'!$C55)</f>
        <v>161.44375351564801</v>
      </c>
      <c r="H62" s="10">
        <f>H61*(1+'Escalation Sheet'!$C55)</f>
        <v>3.4175307722435493</v>
      </c>
      <c r="I62" s="10">
        <f>I61*(1+'Escalation Sheet'!$C55)</f>
        <v>719.58508622150941</v>
      </c>
      <c r="K62" s="115">
        <f t="shared" si="2"/>
        <v>0.16</v>
      </c>
      <c r="L62" s="115">
        <f t="shared" si="3"/>
        <v>0.15</v>
      </c>
      <c r="M62" s="115">
        <f t="shared" si="4"/>
        <v>0.69</v>
      </c>
      <c r="O62" s="110">
        <f t="shared" si="5"/>
        <v>102.17643864120006</v>
      </c>
      <c r="P62" s="111">
        <f t="shared" si="1"/>
        <v>79.769036404341946</v>
      </c>
    </row>
    <row r="63" spans="1:16" x14ac:dyDescent="0.25">
      <c r="A63" s="4">
        <v>2075</v>
      </c>
      <c r="B63" s="10">
        <f>B62*(1+'Escalation Sheet'!$C56)</f>
        <v>168.73776386408429</v>
      </c>
      <c r="C63" s="10">
        <f>C62*(1+'Escalation Sheet'!$C56)</f>
        <v>145.52045080770216</v>
      </c>
      <c r="D63" s="10">
        <f>D62*(1+'Escalation Sheet'!$C56)</f>
        <v>79.855240380827368</v>
      </c>
      <c r="E63" s="10"/>
      <c r="F63" s="10">
        <f>F62*(1+'Escalation Sheet'!$C56)</f>
        <v>338.15836842425398</v>
      </c>
      <c r="G63" s="10">
        <f>G62*(1+'Escalation Sheet'!$C56)</f>
        <v>164.20850236317494</v>
      </c>
      <c r="H63" s="10">
        <f>H62*(1+'Escalation Sheet'!$C56)</f>
        <v>3.4760565067993454</v>
      </c>
      <c r="I63" s="10">
        <f>I62*(1+'Escalation Sheet'!$C56)</f>
        <v>731.90809032978325</v>
      </c>
      <c r="K63" s="115">
        <f t="shared" si="2"/>
        <v>0.16</v>
      </c>
      <c r="L63" s="115">
        <f t="shared" si="3"/>
        <v>0.15</v>
      </c>
      <c r="M63" s="115">
        <f t="shared" si="4"/>
        <v>0.69</v>
      </c>
      <c r="O63" s="110">
        <f t="shared" si="5"/>
        <v>103.92622570217969</v>
      </c>
      <c r="P63" s="111">
        <f t="shared" si="1"/>
        <v>81.135093292048438</v>
      </c>
    </row>
    <row r="64" spans="1:16" x14ac:dyDescent="0.25">
      <c r="A64" s="4">
        <v>2076</v>
      </c>
      <c r="B64" s="10">
        <f>B63*(1+'Escalation Sheet'!$C57)</f>
        <v>171.62742374883345</v>
      </c>
      <c r="C64" s="10">
        <f>C63*(1+'Escalation Sheet'!$C57)</f>
        <v>148.01251067314129</v>
      </c>
      <c r="D64" s="10">
        <f>D63*(1+'Escalation Sheet'!$C57)</f>
        <v>81.222773524749712</v>
      </c>
      <c r="E64" s="10"/>
      <c r="F64" s="10">
        <f>F63*(1+'Escalation Sheet'!$C57)</f>
        <v>343.94938194458769</v>
      </c>
      <c r="G64" s="10">
        <f>G63*(1+'Escalation Sheet'!$C57)</f>
        <v>167.02059795545631</v>
      </c>
      <c r="H64" s="10">
        <f>H63*(1+'Escalation Sheet'!$C57)</f>
        <v>3.5355845034658779</v>
      </c>
      <c r="I64" s="10">
        <f>I63*(1+'Escalation Sheet'!$C57)</f>
        <v>744.44212775873075</v>
      </c>
      <c r="K64" s="115">
        <f t="shared" si="2"/>
        <v>0.16</v>
      </c>
      <c r="L64" s="115">
        <f t="shared" si="3"/>
        <v>0.15</v>
      </c>
      <c r="M64" s="115">
        <f t="shared" si="4"/>
        <v>0.69</v>
      </c>
      <c r="O64" s="110">
        <f t="shared" si="5"/>
        <v>105.70597813286184</v>
      </c>
      <c r="P64" s="111">
        <f t="shared" si="1"/>
        <v>82.524544111843923</v>
      </c>
    </row>
    <row r="65" spans="1:16" x14ac:dyDescent="0.25">
      <c r="A65" s="4">
        <v>2077</v>
      </c>
      <c r="B65" s="10">
        <f>B64*(1+'Escalation Sheet'!$C58)</f>
        <v>174.56656949885846</v>
      </c>
      <c r="C65" s="10">
        <f>C64*(1+'Escalation Sheet'!$C58)</f>
        <v>150.54724744301868</v>
      </c>
      <c r="D65" s="10">
        <f>D64*(1+'Escalation Sheet'!$C58)</f>
        <v>82.613725881873435</v>
      </c>
      <c r="E65" s="10"/>
      <c r="F65" s="10">
        <f>F64*(1+'Escalation Sheet'!$C58)</f>
        <v>349.83956745273576</v>
      </c>
      <c r="G65" s="10">
        <f>G64*(1+'Escalation Sheet'!$C58)</f>
        <v>169.88085111270127</v>
      </c>
      <c r="H65" s="10">
        <f>H64*(1+'Escalation Sheet'!$C58)</f>
        <v>3.5961319261343179</v>
      </c>
      <c r="I65" s="10">
        <f>I64*(1+'Escalation Sheet'!$C58)</f>
        <v>757.19081248608347</v>
      </c>
      <c r="K65" s="115">
        <f t="shared" si="2"/>
        <v>0.16</v>
      </c>
      <c r="L65" s="115">
        <f t="shared" si="3"/>
        <v>0.15</v>
      </c>
      <c r="M65" s="115">
        <f t="shared" si="4"/>
        <v>0.69</v>
      </c>
      <c r="O65" s="110">
        <f t="shared" si="5"/>
        <v>107.51620909476281</v>
      </c>
      <c r="P65" s="111">
        <f t="shared" si="1"/>
        <v>83.937789488375586</v>
      </c>
    </row>
    <row r="66" spans="1:16" x14ac:dyDescent="0.25">
      <c r="A66" s="4">
        <v>2078</v>
      </c>
      <c r="B66" s="10">
        <f>B65*(1+'Escalation Sheet'!$C59)</f>
        <v>177.55604856713296</v>
      </c>
      <c r="C66" s="10">
        <f>C65*(1+'Escalation Sheet'!$C59)</f>
        <v>153.12539196581741</v>
      </c>
      <c r="D66" s="10">
        <f>D65*(1+'Escalation Sheet'!$C59)</f>
        <v>84.028498509788562</v>
      </c>
      <c r="E66" s="10"/>
      <c r="F66" s="10">
        <f>F65*(1+'Escalation Sheet'!$C59)</f>
        <v>355.83062328408153</v>
      </c>
      <c r="G66" s="10">
        <f>G65*(1+'Escalation Sheet'!$C59)</f>
        <v>172.79008654053843</v>
      </c>
      <c r="H66" s="10">
        <f>H65*(1+'Escalation Sheet'!$C59)</f>
        <v>3.6577162326300843</v>
      </c>
      <c r="I66" s="10">
        <f>I65*(1+'Escalation Sheet'!$C59)</f>
        <v>770.1578203794918</v>
      </c>
      <c r="K66" s="115">
        <f t="shared" si="2"/>
        <v>0.16</v>
      </c>
      <c r="L66" s="115">
        <f t="shared" si="3"/>
        <v>0.15</v>
      </c>
      <c r="M66" s="115">
        <f t="shared" si="4"/>
        <v>0.69</v>
      </c>
      <c r="O66" s="110">
        <f t="shared" si="5"/>
        <v>109.35744053736799</v>
      </c>
      <c r="P66" s="111">
        <f t="shared" si="1"/>
        <v>85.37523690704856</v>
      </c>
    </row>
    <row r="67" spans="1:16" x14ac:dyDescent="0.25">
      <c r="A67" s="4">
        <v>2079</v>
      </c>
      <c r="B67" s="10">
        <f>B66*(1+'Escalation Sheet'!$C60)</f>
        <v>180.59672291939174</v>
      </c>
      <c r="C67" s="10">
        <f>C66*(1+'Escalation Sheet'!$C60)</f>
        <v>155.74768760591209</v>
      </c>
      <c r="D67" s="10">
        <f>D66*(1+'Escalation Sheet'!$C60)</f>
        <v>85.467499334257369</v>
      </c>
      <c r="E67" s="10"/>
      <c r="F67" s="10">
        <f>F66*(1+'Escalation Sheet'!$C60)</f>
        <v>361.92427685826021</v>
      </c>
      <c r="G67" s="10">
        <f>G66*(1+'Escalation Sheet'!$C60)</f>
        <v>175.74914306780585</v>
      </c>
      <c r="H67" s="10">
        <f>H66*(1+'Escalation Sheet'!$C60)</f>
        <v>3.7203551797465138</v>
      </c>
      <c r="I67" s="10">
        <f>I66*(1+'Escalation Sheet'!$C60)</f>
        <v>783.34689025639886</v>
      </c>
      <c r="K67" s="115">
        <f t="shared" si="2"/>
        <v>0.16</v>
      </c>
      <c r="L67" s="115">
        <f t="shared" si="3"/>
        <v>0.15</v>
      </c>
      <c r="M67" s="115">
        <f t="shared" si="4"/>
        <v>0.69</v>
      </c>
      <c r="O67" s="110">
        <f t="shared" si="5"/>
        <v>111.23020334862707</v>
      </c>
      <c r="P67" s="111">
        <f t="shared" si="1"/>
        <v>86.837300831517609</v>
      </c>
    </row>
    <row r="68" spans="1:16" x14ac:dyDescent="0.25">
      <c r="A68" s="4">
        <v>2080</v>
      </c>
      <c r="B68" s="10">
        <f>B67*(1+'Escalation Sheet'!$C61)</f>
        <v>183.68946928266391</v>
      </c>
      <c r="C68" s="10">
        <f>C67*(1+'Escalation Sheet'!$C61)</f>
        <v>158.41489045790533</v>
      </c>
      <c r="D68" s="10">
        <f>D67*(1+'Escalation Sheet'!$C61)</f>
        <v>86.931143266832891</v>
      </c>
      <c r="E68" s="10"/>
      <c r="F68" s="10">
        <f>F67*(1+'Escalation Sheet'!$C61)</f>
        <v>368.12228517723122</v>
      </c>
      <c r="G68" s="10">
        <f>G67*(1+'Escalation Sheet'!$C61)</f>
        <v>178.75887388841306</v>
      </c>
      <c r="H68" s="10">
        <f>H67*(1+'Escalation Sheet'!$C61)</f>
        <v>3.7840668283647307</v>
      </c>
      <c r="I68" s="10">
        <f>I67*(1+'Escalation Sheet'!$C61)</f>
        <v>796.7618249620657</v>
      </c>
      <c r="K68" s="115">
        <f t="shared" si="2"/>
        <v>0.16</v>
      </c>
      <c r="L68" s="115">
        <f t="shared" si="3"/>
        <v>0.15</v>
      </c>
      <c r="M68" s="115">
        <f t="shared" si="4"/>
        <v>0.69</v>
      </c>
      <c r="O68" s="110">
        <f t="shared" si="5"/>
        <v>113.13503750802671</v>
      </c>
      <c r="P68" s="111">
        <f t="shared" si="1"/>
        <v>88.324402823190624</v>
      </c>
    </row>
    <row r="69" spans="1:16" x14ac:dyDescent="0.25">
      <c r="A69" s="4">
        <v>2081</v>
      </c>
      <c r="B69" s="10">
        <f>B68*(1+'Escalation Sheet'!$C62)</f>
        <v>186.83517939806242</v>
      </c>
      <c r="C69" s="10">
        <f>C68*(1+'Escalation Sheet'!$C62)</f>
        <v>161.12776956463489</v>
      </c>
      <c r="D69" s="10">
        <f>D68*(1+'Escalation Sheet'!$C62)</f>
        <v>88.419852324491657</v>
      </c>
      <c r="E69" s="10"/>
      <c r="F69" s="10">
        <f>F68*(1+'Escalation Sheet'!$C62)</f>
        <v>374.42643533187987</v>
      </c>
      <c r="G69" s="10">
        <f>G68*(1+'Escalation Sheet'!$C62)</f>
        <v>181.82014680734517</v>
      </c>
      <c r="H69" s="10">
        <f>H68*(1+'Escalation Sheet'!$C62)</f>
        <v>3.8488695486611975</v>
      </c>
      <c r="I69" s="10">
        <f>I68*(1+'Escalation Sheet'!$C62)</f>
        <v>810.40649246605687</v>
      </c>
      <c r="K69" s="115">
        <f t="shared" si="2"/>
        <v>0.16</v>
      </c>
      <c r="L69" s="115">
        <f t="shared" si="3"/>
        <v>0.15</v>
      </c>
      <c r="M69" s="115">
        <f t="shared" si="4"/>
        <v>0.69</v>
      </c>
      <c r="O69" s="110">
        <f t="shared" si="5"/>
        <v>115.07249224228445</v>
      </c>
      <c r="P69" s="111">
        <f t="shared" si="1"/>
        <v>89.83697166277878</v>
      </c>
    </row>
    <row r="70" spans="1:16" x14ac:dyDescent="0.25">
      <c r="A70" s="4">
        <v>2082</v>
      </c>
      <c r="B70" s="10">
        <f>B69*(1+'Escalation Sheet'!$C63)</f>
        <v>190.03476027790248</v>
      </c>
      <c r="C70" s="10">
        <f>C69*(1+'Escalation Sheet'!$C63)</f>
        <v>163.88710713891416</v>
      </c>
      <c r="D70" s="10">
        <f>D69*(1+'Escalation Sheet'!$C63)</f>
        <v>89.934055751315142</v>
      </c>
      <c r="E70" s="10"/>
      <c r="F70" s="10">
        <f>F69*(1+'Escalation Sheet'!$C63)</f>
        <v>380.83854501729485</v>
      </c>
      <c r="G70" s="10">
        <f>G69*(1+'Escalation Sheet'!$C63)</f>
        <v>184.93384449087964</v>
      </c>
      <c r="H70" s="10">
        <f>H69*(1+'Escalation Sheet'!$C63)</f>
        <v>3.9147820254044436</v>
      </c>
      <c r="I70" s="10">
        <f>I69*(1+'Escalation Sheet'!$C63)</f>
        <v>824.28482697750451</v>
      </c>
      <c r="K70" s="115">
        <f t="shared" si="2"/>
        <v>0.16</v>
      </c>
      <c r="L70" s="115">
        <f t="shared" si="3"/>
        <v>0.15</v>
      </c>
      <c r="M70" s="115">
        <f t="shared" si="4"/>
        <v>0.69</v>
      </c>
      <c r="O70" s="110">
        <f t="shared" si="5"/>
        <v>117.04312618370896</v>
      </c>
      <c r="P70" s="111">
        <f t="shared" si="1"/>
        <v>91.375443473928186</v>
      </c>
    </row>
    <row r="71" spans="1:16" x14ac:dyDescent="0.25">
      <c r="A71" s="4">
        <v>2083</v>
      </c>
      <c r="B71" s="10">
        <f>B70*(1+'Escalation Sheet'!$C64)</f>
        <v>193.28913446722325</v>
      </c>
      <c r="C71" s="10">
        <f>C70*(1+'Escalation Sheet'!$C64)</f>
        <v>166.69369878907</v>
      </c>
      <c r="D71" s="10">
        <f>D70*(1+'Escalation Sheet'!$C64)</f>
        <v>91.474190142255026</v>
      </c>
      <c r="E71" s="10"/>
      <c r="F71" s="10">
        <f>F70*(1+'Escalation Sheet'!$C64)</f>
        <v>387.36046305686983</v>
      </c>
      <c r="G71" s="10">
        <f>G70*(1+'Escalation Sheet'!$C64)</f>
        <v>188.10086472108833</v>
      </c>
      <c r="H71" s="10">
        <f>H70*(1+'Escalation Sheet'!$C64)</f>
        <v>3.9818232633425037</v>
      </c>
      <c r="I71" s="10">
        <f>I70*(1+'Escalation Sheet'!$C64)</f>
        <v>838.40083007947089</v>
      </c>
      <c r="K71" s="115">
        <f t="shared" si="2"/>
        <v>0.16</v>
      </c>
      <c r="L71" s="115">
        <f t="shared" si="3"/>
        <v>0.15</v>
      </c>
      <c r="M71" s="115">
        <f t="shared" si="4"/>
        <v>0.69</v>
      </c>
      <c r="O71" s="110">
        <f t="shared" si="5"/>
        <v>119.04750753127217</v>
      </c>
      <c r="P71" s="111">
        <f t="shared" si="1"/>
        <v>92.94026184896876</v>
      </c>
    </row>
    <row r="72" spans="1:16" x14ac:dyDescent="0.25">
      <c r="A72" s="4">
        <v>2084</v>
      </c>
      <c r="B72" s="10">
        <f>B71*(1+'Escalation Sheet'!$C65)</f>
        <v>196.59924030978803</v>
      </c>
      <c r="C72" s="10">
        <f>C71*(1+'Escalation Sheet'!$C65)</f>
        <v>169.54835374834295</v>
      </c>
      <c r="D72" s="10">
        <f>D71*(1+'Escalation Sheet'!$C65)</f>
        <v>93.040699569017988</v>
      </c>
      <c r="E72" s="10"/>
      <c r="F72" s="10">
        <f>F71*(1+'Escalation Sheet'!$C65)</f>
        <v>393.99406993538048</v>
      </c>
      <c r="G72" s="10">
        <f>G71*(1+'Escalation Sheet'!$C65)</f>
        <v>191.3221206546977</v>
      </c>
      <c r="H72" s="10">
        <f>H71*(1+'Escalation Sheet'!$C65)</f>
        <v>4.0500125926826138</v>
      </c>
      <c r="I72" s="10">
        <f>I71*(1+'Escalation Sheet'!$C65)</f>
        <v>852.75857188273721</v>
      </c>
      <c r="K72" s="115">
        <f t="shared" si="2"/>
        <v>0.16</v>
      </c>
      <c r="L72" s="115">
        <f t="shared" si="3"/>
        <v>0.15</v>
      </c>
      <c r="M72" s="115">
        <f t="shared" si="4"/>
        <v>0.69</v>
      </c>
      <c r="O72" s="110">
        <f t="shared" si="5"/>
        <v>121.08621421443993</v>
      </c>
      <c r="P72" s="111">
        <f t="shared" si="1"/>
        <v>94.531877976816531</v>
      </c>
    </row>
    <row r="73" spans="1:16" x14ac:dyDescent="0.25">
      <c r="A73" s="4">
        <v>2085</v>
      </c>
      <c r="B73" s="10">
        <f>B72*(1+'Escalation Sheet'!$C66)</f>
        <v>199.96603221863987</v>
      </c>
      <c r="C73" s="10">
        <f>C72*(1+'Escalation Sheet'!$C66)</f>
        <v>172.45189510821589</v>
      </c>
      <c r="D73" s="10">
        <f>D72*(1+'Escalation Sheet'!$C66)</f>
        <v>94.634035708106268</v>
      </c>
      <c r="E73" s="10"/>
      <c r="F73" s="10">
        <f>F72*(1+'Escalation Sheet'!$C66)</f>
        <v>400.74127834119042</v>
      </c>
      <c r="G73" s="10">
        <f>G72*(1+'Escalation Sheet'!$C66)</f>
        <v>194.59854108638206</v>
      </c>
      <c r="H73" s="10">
        <f>H72*(1+'Escalation Sheet'!$C66)</f>
        <v>4.1193696746647515</v>
      </c>
      <c r="I73" s="10">
        <f>I72*(1+'Escalation Sheet'!$C66)</f>
        <v>867.36219219935106</v>
      </c>
      <c r="K73" s="115">
        <f t="shared" si="2"/>
        <v>0.16</v>
      </c>
      <c r="L73" s="115">
        <f t="shared" si="3"/>
        <v>0.15</v>
      </c>
      <c r="M73" s="115">
        <f t="shared" si="4"/>
        <v>0.69</v>
      </c>
      <c r="O73" s="110">
        <f t="shared" si="5"/>
        <v>123.15983405980808</v>
      </c>
      <c r="P73" s="111">
        <f t="shared" si="1"/>
        <v>96.150750773066449</v>
      </c>
    </row>
    <row r="74" spans="1:16" x14ac:dyDescent="0.25">
      <c r="A74" s="4">
        <v>2086</v>
      </c>
      <c r="B74" s="10">
        <f>B73*(1+'Escalation Sheet'!$C67)</f>
        <v>203.39048095129047</v>
      </c>
      <c r="C74" s="10">
        <f>C73*(1+'Escalation Sheet'!$C67)</f>
        <v>175.40516005573869</v>
      </c>
      <c r="D74" s="10">
        <f>D73*(1+'Escalation Sheet'!$C67)</f>
        <v>96.254657971050932</v>
      </c>
      <c r="E74" s="10"/>
      <c r="F74" s="10">
        <f>F73*(1+'Escalation Sheet'!$C67)</f>
        <v>407.6040337177426</v>
      </c>
      <c r="G74" s="10">
        <f>G73*(1+'Escalation Sheet'!$C67)</f>
        <v>197.93107071656593</v>
      </c>
      <c r="H74" s="10">
        <f>H73*(1+'Escalation Sheet'!$C67)</f>
        <v>4.1899145072306201</v>
      </c>
      <c r="I74" s="10">
        <f>I73*(1+'Escalation Sheet'!$C67)</f>
        <v>882.21590173627135</v>
      </c>
      <c r="K74" s="115">
        <f t="shared" si="2"/>
        <v>0.16</v>
      </c>
      <c r="L74" s="115">
        <f t="shared" si="3"/>
        <v>0.15</v>
      </c>
      <c r="M74" s="115">
        <f t="shared" si="4"/>
        <v>0.69</v>
      </c>
      <c r="O74" s="110">
        <f t="shared" ref="O74:O90" si="6">B74*K74+C74*L74+D74*M74</f>
        <v>125.26896496059241</v>
      </c>
      <c r="P74" s="111">
        <f t="shared" si="1"/>
        <v>97.797347012312827</v>
      </c>
    </row>
    <row r="75" spans="1:16" x14ac:dyDescent="0.25">
      <c r="A75" s="4">
        <v>2087</v>
      </c>
      <c r="B75" s="10">
        <f>B74*(1+'Escalation Sheet'!$C68)</f>
        <v>206.87357388962161</v>
      </c>
      <c r="C75" s="10">
        <f>C74*(1+'Escalation Sheet'!$C68)</f>
        <v>178.40900011491681</v>
      </c>
      <c r="D75" s="10">
        <f>D74*(1+'Escalation Sheet'!$C68)</f>
        <v>97.903033636875421</v>
      </c>
      <c r="E75" s="10"/>
      <c r="F75" s="10">
        <f>F74*(1+'Escalation Sheet'!$C68)</f>
        <v>414.58431482449492</v>
      </c>
      <c r="G75" s="10">
        <f>G74*(1+'Escalation Sheet'!$C68)</f>
        <v>201.32067042381232</v>
      </c>
      <c r="H75" s="10">
        <f>H74*(1+'Escalation Sheet'!$C68)</f>
        <v>4.2616674307897187</v>
      </c>
      <c r="I75" s="10">
        <f>I74*(1+'Escalation Sheet'!$C68)</f>
        <v>897.32398330945455</v>
      </c>
      <c r="K75" s="115">
        <f t="shared" si="2"/>
        <v>0.16</v>
      </c>
      <c r="L75" s="115">
        <f t="shared" si="3"/>
        <v>0.15</v>
      </c>
      <c r="M75" s="115">
        <f t="shared" si="4"/>
        <v>0.69</v>
      </c>
      <c r="O75" s="110">
        <f t="shared" si="6"/>
        <v>127.41421504902101</v>
      </c>
      <c r="P75" s="111">
        <f t="shared" ref="P75:P90" si="7">F75*K75+G75*L75+H75*M75</f>
        <v>99.472141462735934</v>
      </c>
    </row>
    <row r="76" spans="1:16" x14ac:dyDescent="0.25">
      <c r="A76" s="4">
        <v>2088</v>
      </c>
      <c r="B76" s="10">
        <f>B75*(1+'Escalation Sheet'!$C69)</f>
        <v>210.41631532458007</v>
      </c>
      <c r="C76" s="10">
        <f>C75*(1+'Escalation Sheet'!$C69)</f>
        <v>181.46428139223386</v>
      </c>
      <c r="D76" s="10">
        <f>D75*(1+'Escalation Sheet'!$C69)</f>
        <v>99.579637986827592</v>
      </c>
      <c r="E76" s="10"/>
      <c r="F76" s="10">
        <f>F75*(1+'Escalation Sheet'!$C69)</f>
        <v>421.68413430746222</v>
      </c>
      <c r="G76" s="10">
        <f>G75*(1+'Escalation Sheet'!$C69)</f>
        <v>204.76831754187586</v>
      </c>
      <c r="H76" s="10">
        <f>H75*(1+'Escalation Sheet'!$C69)</f>
        <v>4.3346491340841533</v>
      </c>
      <c r="I76" s="10">
        <f>I75*(1+'Escalation Sheet'!$C69)</f>
        <v>912.6907930787321</v>
      </c>
      <c r="K76" s="115">
        <f t="shared" ref="K76:K90" si="8">K75</f>
        <v>0.16</v>
      </c>
      <c r="L76" s="115">
        <f t="shared" ref="L76:L90" si="9">L75</f>
        <v>0.15</v>
      </c>
      <c r="M76" s="115">
        <f t="shared" ref="M76:M90" si="10">M75</f>
        <v>0.69</v>
      </c>
      <c r="O76" s="110">
        <f t="shared" si="6"/>
        <v>129.59620287167894</v>
      </c>
      <c r="P76" s="111">
        <f t="shared" si="7"/>
        <v>101.17561702299339</v>
      </c>
    </row>
    <row r="77" spans="1:16" x14ac:dyDescent="0.25">
      <c r="A77" s="4">
        <v>2089</v>
      </c>
      <c r="B77" s="10">
        <f>B76*(1+'Escalation Sheet'!$C70)</f>
        <v>214.01972674574793</v>
      </c>
      <c r="C77" s="10">
        <f>C76*(1+'Escalation Sheet'!$C70)</f>
        <v>184.57188482637883</v>
      </c>
      <c r="D77" s="10">
        <f>D76*(1+'Escalation Sheet'!$C70)</f>
        <v>101.28495444141898</v>
      </c>
      <c r="E77" s="10"/>
      <c r="F77" s="10">
        <f>F76*(1+'Escalation Sheet'!$C70)</f>
        <v>428.90553927952851</v>
      </c>
      <c r="G77" s="10">
        <f>G76*(1+'Escalation Sheet'!$C70)</f>
        <v>208.27500614150048</v>
      </c>
      <c r="H77" s="10">
        <f>H76*(1+'Escalation Sheet'!$C70)</f>
        <v>4.4088806601538888</v>
      </c>
      <c r="I77" s="10">
        <f>I76*(1+'Escalation Sheet'!$C70)</f>
        <v>928.32076180383535</v>
      </c>
      <c r="K77" s="115">
        <f t="shared" si="8"/>
        <v>0.16</v>
      </c>
      <c r="L77" s="115">
        <f t="shared" si="9"/>
        <v>0.15</v>
      </c>
      <c r="M77" s="115">
        <f t="shared" si="10"/>
        <v>0.69</v>
      </c>
      <c r="O77" s="110">
        <f t="shared" si="6"/>
        <v>131.81555756785559</v>
      </c>
      <c r="P77" s="111">
        <f t="shared" si="7"/>
        <v>102.90826486145582</v>
      </c>
    </row>
    <row r="78" spans="1:16" x14ac:dyDescent="0.25">
      <c r="A78" s="4">
        <v>2090</v>
      </c>
      <c r="B78" s="10">
        <f>B77*(1+'Escalation Sheet'!$C71)</f>
        <v>217.68484713587182</v>
      </c>
      <c r="C78" s="10">
        <f>C77*(1+'Escalation Sheet'!$C71)</f>
        <v>187.73270644224979</v>
      </c>
      <c r="D78" s="10">
        <f>D77*(1+'Escalation Sheet'!$C71)</f>
        <v>103.01947469981094</v>
      </c>
      <c r="E78" s="10"/>
      <c r="F78" s="10">
        <f>F77*(1+'Escalation Sheet'!$C71)</f>
        <v>436.25061191069761</v>
      </c>
      <c r="G78" s="10">
        <f>G77*(1+'Escalation Sheet'!$C71)</f>
        <v>211.84174731704286</v>
      </c>
      <c r="H78" s="10">
        <f>H77*(1+'Escalation Sheet'!$C71)</f>
        <v>4.4843834124041502</v>
      </c>
      <c r="I78" s="10">
        <f>I77*(1+'Escalation Sheet'!$C71)</f>
        <v>944.2183961219306</v>
      </c>
      <c r="K78" s="115">
        <f t="shared" si="8"/>
        <v>0.16</v>
      </c>
      <c r="L78" s="115">
        <f t="shared" si="9"/>
        <v>0.15</v>
      </c>
      <c r="M78" s="115">
        <f t="shared" si="10"/>
        <v>0.69</v>
      </c>
      <c r="O78" s="110">
        <f t="shared" si="6"/>
        <v>134.0729190509465</v>
      </c>
      <c r="P78" s="111">
        <f t="shared" si="7"/>
        <v>104.67058455782691</v>
      </c>
    </row>
    <row r="79" spans="1:16" x14ac:dyDescent="0.25">
      <c r="A79" s="4">
        <v>2091</v>
      </c>
      <c r="B79" s="10">
        <f>B78*(1+'Escalation Sheet'!$C72)</f>
        <v>221.41273327043598</v>
      </c>
      <c r="C79" s="10">
        <f>C78*(1+'Escalation Sheet'!$C72)</f>
        <v>190.94765760930758</v>
      </c>
      <c r="D79" s="10">
        <f>D78*(1+'Escalation Sheet'!$C72)</f>
        <v>104.78369888158782</v>
      </c>
      <c r="E79" s="10"/>
      <c r="F79" s="10">
        <f>F78*(1+'Escalation Sheet'!$C72)</f>
        <v>443.72147002845139</v>
      </c>
      <c r="G79" s="10">
        <f>G78*(1+'Escalation Sheet'!$C72)</f>
        <v>215.46956947800442</v>
      </c>
      <c r="H79" s="10">
        <f>H78*(1+'Escalation Sheet'!$C72)</f>
        <v>4.5611791607767342</v>
      </c>
      <c r="I79" s="10">
        <f>I78*(1+'Escalation Sheet'!$C72)</f>
        <v>960.38827984703119</v>
      </c>
      <c r="K79" s="115">
        <f t="shared" si="8"/>
        <v>0.16</v>
      </c>
      <c r="L79" s="115">
        <f t="shared" si="9"/>
        <v>0.15</v>
      </c>
      <c r="M79" s="115">
        <f t="shared" si="10"/>
        <v>0.69</v>
      </c>
      <c r="O79" s="110">
        <f t="shared" si="6"/>
        <v>136.36893819296148</v>
      </c>
      <c r="P79" s="111">
        <f t="shared" si="7"/>
        <v>106.46308424718883</v>
      </c>
    </row>
    <row r="80" spans="1:16" x14ac:dyDescent="0.25">
      <c r="A80" s="4">
        <v>2092</v>
      </c>
      <c r="B80" s="10">
        <f>B79*(1+'Escalation Sheet'!$C73)</f>
        <v>225.20446002236568</v>
      </c>
      <c r="C80" s="10">
        <f>C79*(1+'Escalation Sheet'!$C73)</f>
        <v>194.21766530435372</v>
      </c>
      <c r="D80" s="10">
        <f>D79*(1+'Escalation Sheet'!$C73)</f>
        <v>106.57813567095793</v>
      </c>
      <c r="E80" s="10"/>
      <c r="F80" s="10">
        <f>F79*(1+'Escalation Sheet'!$C73)</f>
        <v>451.32026772838969</v>
      </c>
      <c r="G80" s="10">
        <f>G79*(1+'Escalation Sheet'!$C73)</f>
        <v>219.15951864555581</v>
      </c>
      <c r="H80" s="10">
        <f>H79*(1+'Escalation Sheet'!$C73)</f>
        <v>4.6392900480270054</v>
      </c>
      <c r="I80" s="10">
        <f>I79*(1+'Escalation Sheet'!$C73)</f>
        <v>976.8350752916632</v>
      </c>
      <c r="K80" s="115">
        <f t="shared" si="8"/>
        <v>0.16</v>
      </c>
      <c r="L80" s="115">
        <f t="shared" si="9"/>
        <v>0.15</v>
      </c>
      <c r="M80" s="115">
        <f t="shared" si="10"/>
        <v>0.69</v>
      </c>
      <c r="O80" s="110">
        <f t="shared" si="6"/>
        <v>138.70427701219253</v>
      </c>
      <c r="P80" s="111">
        <f t="shared" si="7"/>
        <v>108.28628076651435</v>
      </c>
    </row>
    <row r="81" spans="1:16" x14ac:dyDescent="0.25">
      <c r="A81" s="4">
        <v>2093</v>
      </c>
      <c r="B81" s="10">
        <f>B80*(1+'Escalation Sheet'!$C74)</f>
        <v>229.06112067194857</v>
      </c>
      <c r="C81" s="10">
        <f>C80*(1+'Escalation Sheet'!$C74)</f>
        <v>197.54367237880851</v>
      </c>
      <c r="D81" s="10">
        <f>D80*(1+'Escalation Sheet'!$C74)</f>
        <v>108.40330246342407</v>
      </c>
      <c r="E81" s="10"/>
      <c r="F81" s="10">
        <f>F80*(1+'Escalation Sheet'!$C74)</f>
        <v>459.04919599532735</v>
      </c>
      <c r="G81" s="10">
        <f>G80*(1+'Escalation Sheet'!$C74)</f>
        <v>222.91265875413936</v>
      </c>
      <c r="H81" s="10">
        <f>H80*(1+'Escalation Sheet'!$C74)</f>
        <v>4.7187385961083814</v>
      </c>
      <c r="I81" s="10">
        <f>I80*(1+'Escalation Sheet'!$C74)</f>
        <v>993.5635246111641</v>
      </c>
      <c r="K81" s="115">
        <f t="shared" si="8"/>
        <v>0.16</v>
      </c>
      <c r="L81" s="115">
        <f t="shared" si="9"/>
        <v>0.15</v>
      </c>
      <c r="M81" s="115">
        <f t="shared" si="10"/>
        <v>0.69</v>
      </c>
      <c r="O81" s="110">
        <f t="shared" si="6"/>
        <v>141.07960886409563</v>
      </c>
      <c r="P81" s="111">
        <f t="shared" si="7"/>
        <v>110.14069980368807</v>
      </c>
    </row>
    <row r="82" spans="1:16" x14ac:dyDescent="0.25">
      <c r="A82" s="4">
        <v>2094</v>
      </c>
      <c r="B82" s="10">
        <f>B81*(1+'Escalation Sheet'!$C75)</f>
        <v>232.98382722206364</v>
      </c>
      <c r="C82" s="10">
        <f>C81*(1+'Escalation Sheet'!$C75)</f>
        <v>200.92663783056636</v>
      </c>
      <c r="D82" s="10">
        <f>D81*(1+'Escalation Sheet'!$C75)</f>
        <v>110.25972551496577</v>
      </c>
      <c r="E82" s="10"/>
      <c r="F82" s="10">
        <f>F81*(1+'Escalation Sheet'!$C75)</f>
        <v>466.91048333502755</v>
      </c>
      <c r="G82" s="10">
        <f>G81*(1+'Escalation Sheet'!$C75)</f>
        <v>226.73007195823669</v>
      </c>
      <c r="H82" s="10">
        <f>H81*(1+'Escalation Sheet'!$C75)</f>
        <v>4.7995477126661612</v>
      </c>
      <c r="I82" s="10">
        <f>I81*(1+'Escalation Sheet'!$C75)</f>
        <v>1010.5784511710032</v>
      </c>
      <c r="K82" s="115">
        <f t="shared" si="8"/>
        <v>0.16</v>
      </c>
      <c r="L82" s="115">
        <f t="shared" si="9"/>
        <v>0.15</v>
      </c>
      <c r="M82" s="115">
        <f t="shared" si="10"/>
        <v>0.69</v>
      </c>
      <c r="O82" s="110">
        <f t="shared" si="6"/>
        <v>143.4956186354415</v>
      </c>
      <c r="P82" s="111">
        <f t="shared" si="7"/>
        <v>112.02687604907956</v>
      </c>
    </row>
    <row r="83" spans="1:16" x14ac:dyDescent="0.25">
      <c r="A83" s="4">
        <v>2095</v>
      </c>
      <c r="B83" s="10">
        <f>B82*(1+'Escalation Sheet'!$C76)</f>
        <v>236.97371071880841</v>
      </c>
      <c r="C83" s="10">
        <f>C82*(1+'Escalation Sheet'!$C76)</f>
        <v>204.36753708050654</v>
      </c>
      <c r="D83" s="10">
        <f>D82*(1+'Escalation Sheet'!$C76)</f>
        <v>112.14794009377627</v>
      </c>
      <c r="E83" s="10"/>
      <c r="F83" s="10">
        <f>F82*(1+'Escalation Sheet'!$C76)</f>
        <v>474.90639641675381</v>
      </c>
      <c r="G83" s="10">
        <f>G82*(1+'Escalation Sheet'!$C76)</f>
        <v>230.61285894438959</v>
      </c>
      <c r="H83" s="10">
        <f>H82*(1+'Escalation Sheet'!$C76)</f>
        <v>4.881740697642555</v>
      </c>
      <c r="I83" s="10">
        <f>I82*(1+'Escalation Sheet'!$C76)</f>
        <v>1027.8847609375175</v>
      </c>
      <c r="K83" s="115">
        <f t="shared" si="8"/>
        <v>0.16</v>
      </c>
      <c r="L83" s="115">
        <f t="shared" si="9"/>
        <v>0.15</v>
      </c>
      <c r="M83" s="115">
        <f t="shared" si="10"/>
        <v>0.69</v>
      </c>
      <c r="O83" s="110">
        <f t="shared" si="6"/>
        <v>145.95300294179094</v>
      </c>
      <c r="P83" s="111">
        <f t="shared" si="7"/>
        <v>113.94535334971242</v>
      </c>
    </row>
    <row r="84" spans="1:16" x14ac:dyDescent="0.25">
      <c r="A84" s="4">
        <v>2096</v>
      </c>
      <c r="B84" s="10">
        <f>B83*(1+'Escalation Sheet'!$C77)</f>
        <v>241.03192157761691</v>
      </c>
      <c r="C84" s="10">
        <f>C83*(1+'Escalation Sheet'!$C77)</f>
        <v>207.86736225373929</v>
      </c>
      <c r="D84" s="10">
        <f>D83*(1+'Escalation Sheet'!$C77)</f>
        <v>114.06849063459812</v>
      </c>
      <c r="E84" s="10"/>
      <c r="F84" s="10">
        <f>F83*(1+'Escalation Sheet'!$C77)</f>
        <v>483.03924072682571</v>
      </c>
      <c r="G84" s="10">
        <f>G83*(1+'Escalation Sheet'!$C77)</f>
        <v>234.56213924856434</v>
      </c>
      <c r="H84" s="10">
        <f>H83*(1+'Escalation Sheet'!$C77)</f>
        <v>4.9653412499948288</v>
      </c>
      <c r="I84" s="10">
        <f>I83*(1+'Escalation Sheet'!$C77)</f>
        <v>1045.4874438924642</v>
      </c>
      <c r="K84" s="115">
        <f t="shared" si="8"/>
        <v>0.16</v>
      </c>
      <c r="L84" s="115">
        <f t="shared" si="9"/>
        <v>0.15</v>
      </c>
      <c r="M84" s="115">
        <f t="shared" si="10"/>
        <v>0.69</v>
      </c>
      <c r="O84" s="110">
        <f t="shared" si="6"/>
        <v>148.45247032835232</v>
      </c>
      <c r="P84" s="111">
        <f t="shared" si="7"/>
        <v>115.89668486607319</v>
      </c>
    </row>
    <row r="85" spans="1:16" x14ac:dyDescent="0.25">
      <c r="A85" s="4">
        <v>2097</v>
      </c>
      <c r="B85" s="10">
        <f>B84*(1+'Escalation Sheet'!$C78)</f>
        <v>245.15962991496258</v>
      </c>
      <c r="C85" s="10">
        <f>C84*(1+'Escalation Sheet'!$C78)</f>
        <v>211.42712246566836</v>
      </c>
      <c r="D85" s="10">
        <f>D84*(1+'Escalation Sheet'!$C78)</f>
        <v>116.02193089570166</v>
      </c>
      <c r="E85" s="10"/>
      <c r="F85" s="10">
        <f>F84*(1+'Escalation Sheet'!$C78)</f>
        <v>491.31136123336688</v>
      </c>
      <c r="G85" s="10">
        <f>G84*(1+'Escalation Sheet'!$C78)</f>
        <v>238.57905157895104</v>
      </c>
      <c r="H85" s="10">
        <f>H84*(1+'Escalation Sheet'!$C78)</f>
        <v>5.0503734745284996</v>
      </c>
      <c r="I85" s="10">
        <f>I84*(1+'Escalation Sheet'!$C78)</f>
        <v>1063.3915754717971</v>
      </c>
      <c r="K85" s="115">
        <f t="shared" si="8"/>
        <v>0.16</v>
      </c>
      <c r="L85" s="115">
        <f t="shared" si="9"/>
        <v>0.15</v>
      </c>
      <c r="M85" s="115">
        <f t="shared" si="10"/>
        <v>0.69</v>
      </c>
      <c r="O85" s="110">
        <f t="shared" si="6"/>
        <v>150.99474147427841</v>
      </c>
      <c r="P85" s="111">
        <f t="shared" si="7"/>
        <v>117.88143323160602</v>
      </c>
    </row>
    <row r="86" spans="1:16" x14ac:dyDescent="0.25">
      <c r="A86" s="4">
        <v>2098</v>
      </c>
      <c r="B86" s="10">
        <f>B85*(1+'Escalation Sheet'!$C79)</f>
        <v>249.35802588574148</v>
      </c>
      <c r="C86" s="10">
        <f>C85*(1+'Escalation Sheet'!$C79)</f>
        <v>215.04784411295239</v>
      </c>
      <c r="D86" s="10">
        <f>D85*(1+'Escalation Sheet'!$C79)</f>
        <v>118.00882411855187</v>
      </c>
      <c r="E86" s="10"/>
      <c r="F86" s="10">
        <f>F85*(1+'Escalation Sheet'!$C79)</f>
        <v>499.72514306243704</v>
      </c>
      <c r="G86" s="10">
        <f>G85*(1+'Escalation Sheet'!$C79)</f>
        <v>242.66475414429087</v>
      </c>
      <c r="H86" s="10">
        <f>H85*(1+'Escalation Sheet'!$C79)</f>
        <v>5.1368618888475455</v>
      </c>
      <c r="I86" s="10">
        <f>I85*(1+'Escalation Sheet'!$C79)</f>
        <v>1081.6023180290836</v>
      </c>
      <c r="K86" s="115">
        <f t="shared" si="8"/>
        <v>0.16</v>
      </c>
      <c r="L86" s="115">
        <f t="shared" si="9"/>
        <v>0.15</v>
      </c>
      <c r="M86" s="115">
        <f t="shared" si="10"/>
        <v>0.69</v>
      </c>
      <c r="O86" s="110">
        <f t="shared" si="6"/>
        <v>153.58054940046227</v>
      </c>
      <c r="P86" s="111">
        <f t="shared" si="7"/>
        <v>119.90017071493835</v>
      </c>
    </row>
    <row r="87" spans="1:16" x14ac:dyDescent="0.25">
      <c r="A87" s="4">
        <v>2099</v>
      </c>
      <c r="B87" s="10">
        <f>B86*(1+'Escalation Sheet'!$C80)</f>
        <v>253.62832002643347</v>
      </c>
      <c r="C87" s="10">
        <f>C86*(1+'Escalation Sheet'!$C80)</f>
        <v>218.73057116944892</v>
      </c>
      <c r="D87" s="10">
        <f>D86*(1+'Escalation Sheet'!$C80)</f>
        <v>120.02974319020954</v>
      </c>
      <c r="E87" s="10"/>
      <c r="F87" s="10">
        <f>F86*(1+'Escalation Sheet'!$C80)</f>
        <v>508.28301218574251</v>
      </c>
      <c r="G87" s="10">
        <f>G86*(1+'Escalation Sheet'!$C80)</f>
        <v>246.8204249878259</v>
      </c>
      <c r="H87" s="10">
        <f>H86*(1+'Escalation Sheet'!$C80)</f>
        <v>5.2248314304236443</v>
      </c>
      <c r="I87" s="10">
        <f>I86*(1+'Escalation Sheet'!$C80)</f>
        <v>1100.1249223239813</v>
      </c>
      <c r="K87" s="115">
        <f t="shared" si="8"/>
        <v>0.16</v>
      </c>
      <c r="L87" s="115">
        <f t="shared" si="9"/>
        <v>0.15</v>
      </c>
      <c r="M87" s="115">
        <f t="shared" si="10"/>
        <v>0.69</v>
      </c>
      <c r="O87" s="110">
        <f t="shared" si="6"/>
        <v>156.21063968089129</v>
      </c>
      <c r="P87" s="111">
        <f t="shared" si="7"/>
        <v>121.953479384885</v>
      </c>
    </row>
    <row r="88" spans="1:16" x14ac:dyDescent="0.25">
      <c r="A88" s="4">
        <v>2100</v>
      </c>
      <c r="B88" s="10">
        <f>B87*(1+'Escalation Sheet'!$C81)</f>
        <v>257.97174360413982</v>
      </c>
      <c r="C88" s="10">
        <f>C87*(1+'Escalation Sheet'!$C81)</f>
        <v>222.47636548722676</v>
      </c>
      <c r="D88" s="10">
        <f>D87*(1+'Escalation Sheet'!$C81)</f>
        <v>122.08527080851358</v>
      </c>
      <c r="E88" s="10"/>
      <c r="F88" s="10">
        <f>F87*(1+'Escalation Sheet'!$C81)</f>
        <v>516.98743612012436</v>
      </c>
      <c r="G88" s="10">
        <f>G87*(1+'Escalation Sheet'!$C81)</f>
        <v>251.04726232696802</v>
      </c>
      <c r="H88" s="10">
        <f>H87*(1+'Escalation Sheet'!$C81)</f>
        <v>5.3143074637864718</v>
      </c>
      <c r="I88" s="10">
        <f>I87*(1+'Escalation Sheet'!$C81)</f>
        <v>1118.9647290362061</v>
      </c>
      <c r="K88" s="115">
        <f t="shared" si="8"/>
        <v>0.16</v>
      </c>
      <c r="L88" s="115">
        <f t="shared" si="9"/>
        <v>0.15</v>
      </c>
      <c r="M88" s="115">
        <f t="shared" si="10"/>
        <v>0.69</v>
      </c>
      <c r="O88" s="110">
        <f t="shared" si="6"/>
        <v>158.88577065762075</v>
      </c>
      <c r="P88" s="111">
        <f t="shared" si="7"/>
        <v>124.04195127827776</v>
      </c>
    </row>
    <row r="89" spans="1:16" x14ac:dyDescent="0.25">
      <c r="A89" s="4">
        <v>2101</v>
      </c>
      <c r="B89" s="10">
        <f>B88*(1+'Escalation Sheet'!$C82)</f>
        <v>262.38954897159817</v>
      </c>
      <c r="C89" s="10">
        <f>C88*(1+'Escalation Sheet'!$C82)</f>
        <v>226.28630710273293</v>
      </c>
      <c r="D89" s="10">
        <f>D88*(1+'Escalation Sheet'!$C82)</f>
        <v>124.17599965009205</v>
      </c>
      <c r="E89" s="10"/>
      <c r="F89" s="10">
        <f>F88*(1+'Escalation Sheet'!$C82)</f>
        <v>525.84092463902505</v>
      </c>
      <c r="G89" s="10">
        <f>G88*(1+'Escalation Sheet'!$C82)</f>
        <v>255.34648489878467</v>
      </c>
      <c r="H89" s="10">
        <f>H88*(1+'Escalation Sheet'!$C82)</f>
        <v>5.4053157878371341</v>
      </c>
      <c r="I89" s="10">
        <f>I88*(1+'Escalation Sheet'!$C82)</f>
        <v>1138.1271703054267</v>
      </c>
      <c r="K89" s="115">
        <f t="shared" si="8"/>
        <v>0.16</v>
      </c>
      <c r="L89" s="115">
        <f t="shared" si="9"/>
        <v>0.15</v>
      </c>
      <c r="M89" s="115">
        <f t="shared" si="10"/>
        <v>0.69</v>
      </c>
      <c r="O89" s="110">
        <f t="shared" si="6"/>
        <v>161.60671365942915</v>
      </c>
      <c r="P89" s="111">
        <f t="shared" si="7"/>
        <v>126.16618857066933</v>
      </c>
    </row>
    <row r="90" spans="1:16" x14ac:dyDescent="0.25">
      <c r="A90" s="4">
        <v>2102</v>
      </c>
      <c r="B90" s="10">
        <f>B89*(1+'Escalation Sheet'!$C83)</f>
        <v>266.8830099282776</v>
      </c>
      <c r="C90" s="10">
        <f>C89*(1+'Escalation Sheet'!$C83)</f>
        <v>230.16149454820302</v>
      </c>
      <c r="D90" s="10">
        <f>D89*(1+'Escalation Sheet'!$C83)</f>
        <v>126.30253254125046</v>
      </c>
      <c r="E90" s="10"/>
      <c r="F90" s="10">
        <f>F89*(1+'Escalation Sheet'!$C83)</f>
        <v>534.84603049613906</v>
      </c>
      <c r="G90" s="10">
        <f>G89*(1+'Escalation Sheet'!$C83)</f>
        <v>259.71933231140099</v>
      </c>
      <c r="H90" s="10">
        <f>H89*(1+'Escalation Sheet'!$C83)</f>
        <v>5.4978826432868457</v>
      </c>
      <c r="I90" s="10">
        <f>I89*(1+'Escalation Sheet'!$C83)</f>
        <v>1157.6177712975302</v>
      </c>
      <c r="K90" s="115">
        <f t="shared" si="8"/>
        <v>0.16</v>
      </c>
      <c r="L90" s="115">
        <f t="shared" si="9"/>
        <v>0.15</v>
      </c>
      <c r="M90" s="115">
        <f t="shared" si="10"/>
        <v>0.69</v>
      </c>
      <c r="O90" s="110">
        <f t="shared" si="6"/>
        <v>164.37425322421768</v>
      </c>
      <c r="P90" s="111">
        <f t="shared" si="7"/>
        <v>128.32680374996033</v>
      </c>
    </row>
    <row r="93" spans="1:16" x14ac:dyDescent="0.25">
      <c r="A93" s="38" t="s">
        <v>72</v>
      </c>
    </row>
    <row r="94" spans="1:16" x14ac:dyDescent="0.25">
      <c r="A94" s="38" t="s">
        <v>73</v>
      </c>
    </row>
    <row r="95" spans="1:16" x14ac:dyDescent="0.25">
      <c r="A95" s="38" t="s">
        <v>74</v>
      </c>
    </row>
  </sheetData>
  <mergeCells count="14">
    <mergeCell ref="A1:I1"/>
    <mergeCell ref="A2:I2"/>
    <mergeCell ref="A3:I3"/>
    <mergeCell ref="P6:P8"/>
    <mergeCell ref="O6:O8"/>
    <mergeCell ref="B7:C7"/>
    <mergeCell ref="K7:L7"/>
    <mergeCell ref="B6:D6"/>
    <mergeCell ref="K6:M6"/>
    <mergeCell ref="F6:J6"/>
    <mergeCell ref="F7:G7"/>
    <mergeCell ref="A4:I4"/>
    <mergeCell ref="K3:P3"/>
    <mergeCell ref="K4:P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90"/>
  <sheetViews>
    <sheetView workbookViewId="0">
      <selection activeCell="E96" sqref="E96"/>
    </sheetView>
  </sheetViews>
  <sheetFormatPr defaultRowHeight="15" x14ac:dyDescent="0.25"/>
  <cols>
    <col min="1" max="1" width="9.140625" style="38"/>
    <col min="2" max="2" width="10.7109375" style="38" bestFit="1" customWidth="1"/>
    <col min="3" max="3" width="15.5703125" style="116" customWidth="1"/>
    <col min="4" max="4" width="14.28515625" style="98" customWidth="1"/>
    <col min="5" max="16384" width="9.140625" style="38"/>
  </cols>
  <sheetData>
    <row r="1" spans="1:11" ht="22.5" customHeight="1" x14ac:dyDescent="0.25">
      <c r="B1" s="206" t="s">
        <v>21</v>
      </c>
      <c r="C1" s="206"/>
    </row>
    <row r="2" spans="1:11" ht="28.5" x14ac:dyDescent="0.25">
      <c r="A2" s="132" t="s">
        <v>44</v>
      </c>
      <c r="B2" s="133" t="s">
        <v>20</v>
      </c>
      <c r="C2" s="134" t="s">
        <v>11</v>
      </c>
      <c r="D2" s="135" t="s">
        <v>12</v>
      </c>
      <c r="E2" s="41"/>
      <c r="G2" s="95"/>
      <c r="J2" s="100"/>
    </row>
    <row r="3" spans="1:11" x14ac:dyDescent="0.25">
      <c r="A3" s="119">
        <v>2022</v>
      </c>
      <c r="B3" s="120">
        <v>1</v>
      </c>
      <c r="C3" s="118"/>
      <c r="D3" s="121">
        <v>100</v>
      </c>
      <c r="E3" s="41"/>
      <c r="G3" s="122"/>
      <c r="J3" s="100"/>
    </row>
    <row r="4" spans="1:11" ht="12.75" customHeight="1" x14ac:dyDescent="0.25">
      <c r="A4" s="45">
        <v>2023</v>
      </c>
      <c r="B4" s="120">
        <v>1.0166641535801488</v>
      </c>
      <c r="C4" s="101">
        <f>B4/B3-1</f>
        <v>1.6664153580148833E-2</v>
      </c>
      <c r="D4" s="121">
        <f t="shared" ref="D4:D35" si="0">D3*(1+C4)</f>
        <v>101.66641535801489</v>
      </c>
      <c r="E4" s="123"/>
      <c r="G4" s="124"/>
      <c r="J4" s="100"/>
    </row>
    <row r="5" spans="1:11" x14ac:dyDescent="0.25">
      <c r="A5" s="45">
        <v>2024</v>
      </c>
      <c r="B5" s="120">
        <v>1.0329593831625521</v>
      </c>
      <c r="C5" s="101">
        <f t="shared" ref="C5:C68" si="1">B5/B4-1</f>
        <v>1.602813429097516E-2</v>
      </c>
      <c r="D5" s="121">
        <f t="shared" si="0"/>
        <v>103.2959383162552</v>
      </c>
      <c r="E5" s="125"/>
      <c r="G5" s="126"/>
      <c r="J5" s="100"/>
    </row>
    <row r="6" spans="1:11" x14ac:dyDescent="0.25">
      <c r="A6" s="45">
        <v>2025</v>
      </c>
      <c r="B6" s="120">
        <v>1.049056680022961</v>
      </c>
      <c r="C6" s="101">
        <f t="shared" si="1"/>
        <v>1.5583668750967616E-2</v>
      </c>
      <c r="D6" s="121">
        <f t="shared" si="0"/>
        <v>104.90566800229611</v>
      </c>
      <c r="E6" s="125"/>
      <c r="G6" s="126"/>
      <c r="J6" s="127"/>
    </row>
    <row r="7" spans="1:11" x14ac:dyDescent="0.25">
      <c r="A7" s="45">
        <v>2026</v>
      </c>
      <c r="B7" s="128">
        <v>1.0678736239025077</v>
      </c>
      <c r="C7" s="101">
        <f t="shared" si="1"/>
        <v>1.7937013545478608E-2</v>
      </c>
      <c r="D7" s="121">
        <f t="shared" si="0"/>
        <v>106.78736239025078</v>
      </c>
      <c r="E7" s="125"/>
      <c r="G7" s="126"/>
      <c r="J7" s="100"/>
    </row>
    <row r="8" spans="1:11" x14ac:dyDescent="0.25">
      <c r="A8" s="45">
        <v>2027</v>
      </c>
      <c r="B8" s="129">
        <v>1.0866992798220187</v>
      </c>
      <c r="C8" s="101">
        <f t="shared" si="1"/>
        <v>1.762910469753276E-2</v>
      </c>
      <c r="D8" s="121">
        <f t="shared" si="0"/>
        <v>108.66992798220188</v>
      </c>
      <c r="E8" s="125"/>
      <c r="G8" s="126"/>
      <c r="J8" s="100"/>
    </row>
    <row r="9" spans="1:11" x14ac:dyDescent="0.25">
      <c r="A9" s="45">
        <v>2028</v>
      </c>
      <c r="B9" s="129">
        <v>1.1058483436641164</v>
      </c>
      <c r="C9" s="101">
        <f t="shared" si="1"/>
        <v>1.7621309038903465E-2</v>
      </c>
      <c r="D9" s="121">
        <f t="shared" si="0"/>
        <v>110.58483436641164</v>
      </c>
      <c r="E9" s="125"/>
      <c r="G9" s="126"/>
      <c r="J9" s="100"/>
    </row>
    <row r="10" spans="1:11" x14ac:dyDescent="0.25">
      <c r="A10" s="45">
        <v>2029</v>
      </c>
      <c r="B10" s="129">
        <v>1.1252789551392151</v>
      </c>
      <c r="C10" s="101">
        <f t="shared" si="1"/>
        <v>1.7570774135915679E-2</v>
      </c>
      <c r="D10" s="121">
        <f t="shared" si="0"/>
        <v>112.52789551392151</v>
      </c>
      <c r="E10" s="125"/>
      <c r="G10" s="126"/>
      <c r="J10" s="100"/>
    </row>
    <row r="11" spans="1:11" x14ac:dyDescent="0.25">
      <c r="A11" s="45">
        <v>2030</v>
      </c>
      <c r="B11" s="129">
        <v>1.1448056115427037</v>
      </c>
      <c r="C11" s="101">
        <f t="shared" si="1"/>
        <v>1.7352725130341362E-2</v>
      </c>
      <c r="D11" s="121">
        <f t="shared" si="0"/>
        <v>114.48056115427036</v>
      </c>
      <c r="E11" s="125"/>
      <c r="G11" s="126"/>
      <c r="J11" s="100"/>
      <c r="K11" s="96"/>
    </row>
    <row r="12" spans="1:11" x14ac:dyDescent="0.25">
      <c r="A12" s="45">
        <v>2031</v>
      </c>
      <c r="B12" s="129">
        <v>1.1648250294261386</v>
      </c>
      <c r="C12" s="101">
        <f t="shared" si="1"/>
        <v>1.7487176584029429E-2</v>
      </c>
      <c r="D12" s="121">
        <f t="shared" si="0"/>
        <v>116.48250294261386</v>
      </c>
      <c r="E12" s="125"/>
      <c r="G12" s="126"/>
      <c r="J12" s="100"/>
      <c r="K12" s="96"/>
    </row>
    <row r="13" spans="1:11" x14ac:dyDescent="0.25">
      <c r="A13" s="45">
        <v>2032</v>
      </c>
      <c r="B13" s="129">
        <v>1.1850314374356423</v>
      </c>
      <c r="C13" s="101">
        <f t="shared" si="1"/>
        <v>1.7347161589975846E-2</v>
      </c>
      <c r="D13" s="121">
        <f t="shared" si="0"/>
        <v>118.50314374356422</v>
      </c>
      <c r="E13" s="125"/>
      <c r="G13" s="126"/>
      <c r="J13" s="100"/>
      <c r="K13" s="96"/>
    </row>
    <row r="14" spans="1:11" x14ac:dyDescent="0.25">
      <c r="A14" s="45">
        <v>2033</v>
      </c>
      <c r="B14" s="129">
        <v>1.2054981442001846</v>
      </c>
      <c r="C14" s="101">
        <f t="shared" si="1"/>
        <v>1.7271024310402616E-2</v>
      </c>
      <c r="D14" s="121">
        <f t="shared" si="0"/>
        <v>120.54981442001845</v>
      </c>
      <c r="G14" s="126"/>
      <c r="J14" s="100"/>
      <c r="K14" s="96"/>
    </row>
    <row r="15" spans="1:11" x14ac:dyDescent="0.25">
      <c r="A15" s="45">
        <v>2034</v>
      </c>
      <c r="B15" s="129">
        <v>1.2262508608621001</v>
      </c>
      <c r="C15" s="101">
        <f t="shared" si="1"/>
        <v>1.7215054839992527E-2</v>
      </c>
      <c r="D15" s="121">
        <f t="shared" si="0"/>
        <v>122.62508608620999</v>
      </c>
      <c r="G15" s="126"/>
      <c r="J15" s="100"/>
      <c r="K15" s="96"/>
    </row>
    <row r="16" spans="1:11" x14ac:dyDescent="0.25">
      <c r="A16" s="45">
        <v>2035</v>
      </c>
      <c r="B16" s="129">
        <v>1.2472934122194217</v>
      </c>
      <c r="C16" s="101">
        <f t="shared" si="1"/>
        <v>1.7160070609473665E-2</v>
      </c>
      <c r="D16" s="121">
        <f t="shared" si="0"/>
        <v>124.72934122194214</v>
      </c>
      <c r="G16" s="126"/>
      <c r="J16" s="100"/>
      <c r="K16" s="96"/>
    </row>
    <row r="17" spans="1:11" x14ac:dyDescent="0.25">
      <c r="A17" s="45">
        <v>2036</v>
      </c>
      <c r="B17" s="129">
        <v>1.2688159757299127</v>
      </c>
      <c r="C17" s="101">
        <f t="shared" si="1"/>
        <v>1.7255413441328082E-2</v>
      </c>
      <c r="D17" s="121">
        <f t="shared" si="0"/>
        <v>126.88159757299124</v>
      </c>
      <c r="G17" s="126"/>
      <c r="J17" s="100"/>
      <c r="K17" s="96"/>
    </row>
    <row r="18" spans="1:11" x14ac:dyDescent="0.25">
      <c r="A18" s="45">
        <v>2037</v>
      </c>
      <c r="B18" s="129">
        <v>1.2904581704233311</v>
      </c>
      <c r="C18" s="101">
        <f t="shared" si="1"/>
        <v>1.7057000469251182E-2</v>
      </c>
      <c r="D18" s="121">
        <f t="shared" si="0"/>
        <v>129.04581704233308</v>
      </c>
      <c r="G18" s="126"/>
      <c r="J18" s="100"/>
      <c r="K18" s="96"/>
    </row>
    <row r="19" spans="1:11" x14ac:dyDescent="0.25">
      <c r="A19" s="45">
        <v>2038</v>
      </c>
      <c r="B19" s="129">
        <v>1.3126190502278101</v>
      </c>
      <c r="C19" s="101">
        <f t="shared" si="1"/>
        <v>1.7172877286839361E-2</v>
      </c>
      <c r="D19" s="121">
        <f t="shared" si="0"/>
        <v>131.26190502278101</v>
      </c>
      <c r="G19" s="126"/>
      <c r="J19" s="100"/>
      <c r="K19" s="96"/>
    </row>
    <row r="20" spans="1:11" x14ac:dyDescent="0.25">
      <c r="A20" s="45">
        <v>2039</v>
      </c>
      <c r="B20" s="129">
        <v>1.3349103981429782</v>
      </c>
      <c r="C20" s="101">
        <f t="shared" si="1"/>
        <v>1.6982343743448869E-2</v>
      </c>
      <c r="D20" s="121">
        <f t="shared" si="0"/>
        <v>133.49103981429781</v>
      </c>
      <c r="G20" s="126"/>
      <c r="J20" s="100"/>
      <c r="K20" s="96"/>
    </row>
    <row r="21" spans="1:11" x14ac:dyDescent="0.25">
      <c r="A21" s="45">
        <v>2040</v>
      </c>
      <c r="B21" s="129">
        <v>1.3578149886761388</v>
      </c>
      <c r="C21" s="101">
        <f t="shared" si="1"/>
        <v>1.7158148265998818E-2</v>
      </c>
      <c r="D21" s="121">
        <f t="shared" si="0"/>
        <v>135.78149886761389</v>
      </c>
      <c r="G21" s="126"/>
      <c r="J21" s="100"/>
      <c r="K21" s="96"/>
    </row>
    <row r="22" spans="1:11" x14ac:dyDescent="0.25">
      <c r="A22" s="45">
        <v>2041</v>
      </c>
      <c r="B22" s="130">
        <v>1.3810677769900161</v>
      </c>
      <c r="C22" s="101">
        <f t="shared" si="1"/>
        <v>1.7125152180378134E-2</v>
      </c>
      <c r="D22" s="121">
        <f t="shared" si="0"/>
        <v>138.10677769900161</v>
      </c>
      <c r="G22" s="126"/>
      <c r="J22" s="100"/>
      <c r="K22" s="96"/>
    </row>
    <row r="23" spans="1:11" x14ac:dyDescent="0.25">
      <c r="A23" s="45">
        <v>2042</v>
      </c>
      <c r="B23" s="130">
        <v>1.4047187728423867</v>
      </c>
      <c r="C23" s="101">
        <f t="shared" si="1"/>
        <v>1.7125152180378134E-2</v>
      </c>
      <c r="D23" s="121">
        <f t="shared" si="0"/>
        <v>140.47187728423867</v>
      </c>
      <c r="G23" s="126"/>
      <c r="J23" s="100"/>
      <c r="K23" s="96"/>
    </row>
    <row r="24" spans="1:11" x14ac:dyDescent="0.25">
      <c r="A24" s="45">
        <v>2043</v>
      </c>
      <c r="B24" s="130">
        <v>1.4287747955979466</v>
      </c>
      <c r="C24" s="101">
        <f t="shared" si="1"/>
        <v>1.7125152180378134E-2</v>
      </c>
      <c r="D24" s="121">
        <f t="shared" si="0"/>
        <v>142.87747955979466</v>
      </c>
      <c r="G24" s="95"/>
      <c r="J24" s="100"/>
      <c r="K24" s="96"/>
    </row>
    <row r="25" spans="1:11" x14ac:dyDescent="0.25">
      <c r="A25" s="45">
        <v>2044</v>
      </c>
      <c r="B25" s="130">
        <v>1.4532427814040501</v>
      </c>
      <c r="C25" s="101">
        <f t="shared" si="1"/>
        <v>1.7125152180378134E-2</v>
      </c>
      <c r="D25" s="121">
        <f t="shared" si="0"/>
        <v>145.32427814040503</v>
      </c>
      <c r="G25" s="95"/>
      <c r="J25" s="100"/>
      <c r="K25" s="96"/>
    </row>
    <row r="26" spans="1:11" x14ac:dyDescent="0.25">
      <c r="A26" s="45">
        <v>2045</v>
      </c>
      <c r="B26" s="131">
        <v>1.4781297851906303</v>
      </c>
      <c r="C26" s="101">
        <f t="shared" si="1"/>
        <v>1.7125152180378134E-2</v>
      </c>
      <c r="D26" s="121">
        <f t="shared" si="0"/>
        <v>147.81297851906305</v>
      </c>
      <c r="G26" s="95"/>
      <c r="J26" s="100"/>
      <c r="K26" s="96"/>
    </row>
    <row r="27" spans="1:11" x14ac:dyDescent="0.25">
      <c r="A27" s="45">
        <v>2046</v>
      </c>
      <c r="B27" s="131">
        <v>1.5034429827043696</v>
      </c>
      <c r="C27" s="101">
        <f t="shared" si="1"/>
        <v>1.7125152180378134E-2</v>
      </c>
      <c r="D27" s="121">
        <f t="shared" si="0"/>
        <v>150.34429827043698</v>
      </c>
      <c r="G27" s="95"/>
    </row>
    <row r="28" spans="1:11" x14ac:dyDescent="0.25">
      <c r="A28" s="45">
        <v>2047</v>
      </c>
      <c r="B28" s="131">
        <v>1.5291896725777034</v>
      </c>
      <c r="C28" s="101">
        <f t="shared" si="1"/>
        <v>1.7125152180378134E-2</v>
      </c>
      <c r="D28" s="121">
        <f t="shared" si="0"/>
        <v>152.91896725777036</v>
      </c>
    </row>
    <row r="29" spans="1:11" x14ac:dyDescent="0.25">
      <c r="A29" s="45">
        <v>2048</v>
      </c>
      <c r="B29" s="131">
        <v>1.5553772784332591</v>
      </c>
      <c r="C29" s="101">
        <f t="shared" si="1"/>
        <v>1.7125152180378134E-2</v>
      </c>
      <c r="D29" s="121">
        <f t="shared" si="0"/>
        <v>155.53772784332594</v>
      </c>
    </row>
    <row r="30" spans="1:11" x14ac:dyDescent="0.25">
      <c r="A30" s="45">
        <v>2049</v>
      </c>
      <c r="B30" s="131">
        <v>1.582013351024331</v>
      </c>
      <c r="C30" s="101">
        <f t="shared" si="1"/>
        <v>1.7125152180378134E-2</v>
      </c>
      <c r="D30" s="121">
        <f t="shared" si="0"/>
        <v>158.20133510243312</v>
      </c>
    </row>
    <row r="31" spans="1:11" x14ac:dyDescent="0.25">
      <c r="A31" s="45">
        <v>2050</v>
      </c>
      <c r="B31" s="131">
        <v>1.6091055704120127</v>
      </c>
      <c r="C31" s="101">
        <f t="shared" si="1"/>
        <v>1.7125152180378134E-2</v>
      </c>
      <c r="D31" s="121">
        <f t="shared" si="0"/>
        <v>160.91055704120129</v>
      </c>
    </row>
    <row r="32" spans="1:11" x14ac:dyDescent="0.25">
      <c r="A32" s="45">
        <v>2051</v>
      </c>
      <c r="B32" s="131">
        <v>1.6366617481796126</v>
      </c>
      <c r="C32" s="101">
        <f t="shared" si="1"/>
        <v>1.7125152180378134E-2</v>
      </c>
      <c r="D32" s="121">
        <f t="shared" si="0"/>
        <v>163.66617481796126</v>
      </c>
    </row>
    <row r="33" spans="1:4" x14ac:dyDescent="0.25">
      <c r="A33" s="45">
        <v>2052</v>
      </c>
      <c r="B33" s="131">
        <v>1.6646898296849921</v>
      </c>
      <c r="C33" s="101">
        <f t="shared" si="1"/>
        <v>1.7125152180378134E-2</v>
      </c>
      <c r="D33" s="121">
        <f t="shared" si="0"/>
        <v>166.46898296849923</v>
      </c>
    </row>
    <row r="34" spans="1:4" x14ac:dyDescent="0.25">
      <c r="A34" s="45">
        <v>2053</v>
      </c>
      <c r="B34" s="131">
        <v>1.6931978963514753</v>
      </c>
      <c r="C34" s="101">
        <f t="shared" si="1"/>
        <v>1.7125152180378134E-2</v>
      </c>
      <c r="D34" s="121">
        <f t="shared" si="0"/>
        <v>169.31978963514757</v>
      </c>
    </row>
    <row r="35" spans="1:4" x14ac:dyDescent="0.25">
      <c r="A35" s="45">
        <v>2054</v>
      </c>
      <c r="B35" s="131">
        <v>1.7221941679979904</v>
      </c>
      <c r="C35" s="101">
        <f t="shared" si="1"/>
        <v>1.7125152180378134E-2</v>
      </c>
      <c r="D35" s="121">
        <f t="shared" si="0"/>
        <v>172.21941679979909</v>
      </c>
    </row>
    <row r="36" spans="1:4" x14ac:dyDescent="0.25">
      <c r="A36" s="45">
        <v>2055</v>
      </c>
      <c r="B36" s="131">
        <v>1.7516870052091158</v>
      </c>
      <c r="C36" s="101">
        <f t="shared" si="1"/>
        <v>1.7125152180378134E-2</v>
      </c>
      <c r="D36" s="121">
        <f t="shared" ref="D36:D67" si="2">D35*(1+C36)</f>
        <v>175.16870052091161</v>
      </c>
    </row>
    <row r="37" spans="1:4" x14ac:dyDescent="0.25">
      <c r="A37" s="45">
        <v>2056</v>
      </c>
      <c r="B37" s="131">
        <v>1.7816849117457128</v>
      </c>
      <c r="C37" s="101">
        <f t="shared" si="1"/>
        <v>1.7125152180378134E-2</v>
      </c>
      <c r="D37" s="121">
        <f t="shared" si="2"/>
        <v>178.1684911745713</v>
      </c>
    </row>
    <row r="38" spans="1:4" x14ac:dyDescent="0.25">
      <c r="A38" s="45">
        <v>2057</v>
      </c>
      <c r="B38" s="131">
        <v>1.8121965369968416</v>
      </c>
      <c r="C38" s="101">
        <f t="shared" si="1"/>
        <v>1.7125152180378134E-2</v>
      </c>
      <c r="D38" s="121">
        <f t="shared" si="2"/>
        <v>181.21965369968419</v>
      </c>
    </row>
    <row r="39" spans="1:4" x14ac:dyDescent="0.25">
      <c r="A39" s="45">
        <v>2058</v>
      </c>
      <c r="B39" s="131">
        <v>1.8432306784736667</v>
      </c>
      <c r="C39" s="101">
        <f t="shared" si="1"/>
        <v>1.7125152180378134E-2</v>
      </c>
      <c r="D39" s="121">
        <f t="shared" si="2"/>
        <v>184.3230678473667</v>
      </c>
    </row>
    <row r="40" spans="1:4" x14ac:dyDescent="0.25">
      <c r="A40" s="45">
        <v>2059</v>
      </c>
      <c r="B40" s="131">
        <v>1.8747962843460699</v>
      </c>
      <c r="C40" s="101">
        <f t="shared" si="1"/>
        <v>1.7125152180378134E-2</v>
      </c>
      <c r="D40" s="121">
        <f t="shared" si="2"/>
        <v>187.47962843460701</v>
      </c>
    </row>
    <row r="41" spans="1:4" x14ac:dyDescent="0.25">
      <c r="A41" s="45">
        <v>2060</v>
      </c>
      <c r="B41" s="131">
        <v>1.9069024560227039</v>
      </c>
      <c r="C41" s="101">
        <f t="shared" si="1"/>
        <v>1.7125152180378134E-2</v>
      </c>
      <c r="D41" s="121">
        <f t="shared" si="2"/>
        <v>190.69024560227041</v>
      </c>
    </row>
    <row r="42" spans="1:4" x14ac:dyDescent="0.25">
      <c r="A42" s="45">
        <v>2061</v>
      </c>
      <c r="B42" s="131">
        <v>1.9395584507752295</v>
      </c>
      <c r="C42" s="101">
        <f t="shared" si="1"/>
        <v>1.7125152180378134E-2</v>
      </c>
      <c r="D42" s="121">
        <f t="shared" si="2"/>
        <v>193.95584507752298</v>
      </c>
    </row>
    <row r="43" spans="1:4" x14ac:dyDescent="0.25">
      <c r="A43" s="45">
        <v>2062</v>
      </c>
      <c r="B43" s="131">
        <v>1.9727736844074937</v>
      </c>
      <c r="C43" s="101">
        <f t="shared" si="1"/>
        <v>1.7125152180378134E-2</v>
      </c>
      <c r="D43" s="121">
        <f t="shared" si="2"/>
        <v>197.2773684407494</v>
      </c>
    </row>
    <row r="44" spans="1:4" x14ac:dyDescent="0.25">
      <c r="A44" s="45">
        <v>2063</v>
      </c>
      <c r="B44" s="131">
        <v>2.0065577339704173</v>
      </c>
      <c r="C44" s="101">
        <f t="shared" si="1"/>
        <v>1.7125152180378134E-2</v>
      </c>
      <c r="D44" s="121">
        <f t="shared" si="2"/>
        <v>200.65577339704177</v>
      </c>
    </row>
    <row r="45" spans="1:4" x14ac:dyDescent="0.25">
      <c r="A45" s="45">
        <v>2064</v>
      </c>
      <c r="B45" s="131">
        <v>2.0409203405233756</v>
      </c>
      <c r="C45" s="101">
        <f t="shared" si="1"/>
        <v>1.7125152180378134E-2</v>
      </c>
      <c r="D45" s="121">
        <f t="shared" si="2"/>
        <v>204.09203405233757</v>
      </c>
    </row>
    <row r="46" spans="1:4" x14ac:dyDescent="0.25">
      <c r="A46" s="45">
        <v>2065</v>
      </c>
      <c r="B46" s="131">
        <v>2.0758714119428676</v>
      </c>
      <c r="C46" s="101">
        <f t="shared" si="1"/>
        <v>1.7125152180378134E-2</v>
      </c>
      <c r="D46" s="121">
        <f t="shared" si="2"/>
        <v>207.58714119428677</v>
      </c>
    </row>
    <row r="47" spans="1:4" x14ac:dyDescent="0.25">
      <c r="A47" s="45">
        <v>2066</v>
      </c>
      <c r="B47" s="131">
        <v>2.1114210257792858</v>
      </c>
      <c r="C47" s="101">
        <f t="shared" si="1"/>
        <v>1.7125152180378134E-2</v>
      </c>
      <c r="D47" s="121">
        <f t="shared" si="2"/>
        <v>211.14210257792857</v>
      </c>
    </row>
    <row r="48" spans="1:4" x14ac:dyDescent="0.25">
      <c r="A48" s="45">
        <v>2067</v>
      </c>
      <c r="B48" s="131">
        <v>2.1475794321626061</v>
      </c>
      <c r="C48" s="101">
        <f t="shared" si="1"/>
        <v>1.7125152180378134E-2</v>
      </c>
      <c r="D48" s="121">
        <f t="shared" si="2"/>
        <v>214.7579432162606</v>
      </c>
    </row>
    <row r="49" spans="1:4" x14ac:dyDescent="0.25">
      <c r="A49" s="45">
        <v>2068</v>
      </c>
      <c r="B49" s="131">
        <v>2.1843570567578405</v>
      </c>
      <c r="C49" s="101">
        <f t="shared" si="1"/>
        <v>1.7125152180378134E-2</v>
      </c>
      <c r="D49" s="121">
        <f t="shared" si="2"/>
        <v>218.43570567578408</v>
      </c>
    </row>
    <row r="50" spans="1:4" x14ac:dyDescent="0.25">
      <c r="A50" s="45">
        <v>2069</v>
      </c>
      <c r="B50" s="131">
        <v>2.2217645037711016</v>
      </c>
      <c r="C50" s="101">
        <f t="shared" si="1"/>
        <v>1.7125152180378134E-2</v>
      </c>
      <c r="D50" s="121">
        <f t="shared" si="2"/>
        <v>222.17645037711017</v>
      </c>
    </row>
    <row r="51" spans="1:4" x14ac:dyDescent="0.25">
      <c r="A51" s="45">
        <v>2070</v>
      </c>
      <c r="B51" s="131">
        <v>2.2598125590071438</v>
      </c>
      <c r="C51" s="101">
        <f t="shared" si="1"/>
        <v>1.7125152180378134E-2</v>
      </c>
      <c r="D51" s="121">
        <f t="shared" si="2"/>
        <v>225.98125590071442</v>
      </c>
    </row>
    <row r="52" spans="1:4" x14ac:dyDescent="0.25">
      <c r="A52" s="45">
        <v>2071</v>
      </c>
      <c r="B52" s="131">
        <v>2.2985121929792709</v>
      </c>
      <c r="C52" s="101">
        <f t="shared" si="1"/>
        <v>1.7125152180378134E-2</v>
      </c>
      <c r="D52" s="121">
        <f t="shared" si="2"/>
        <v>229.85121929792712</v>
      </c>
    </row>
    <row r="53" spans="1:4" x14ac:dyDescent="0.25">
      <c r="A53" s="45">
        <v>2072</v>
      </c>
      <c r="B53" s="131">
        <v>2.3378745640724956</v>
      </c>
      <c r="C53" s="101">
        <f t="shared" si="1"/>
        <v>1.7125152180378134E-2</v>
      </c>
      <c r="D53" s="121">
        <f t="shared" si="2"/>
        <v>233.78745640724958</v>
      </c>
    </row>
    <row r="54" spans="1:4" x14ac:dyDescent="0.25">
      <c r="A54" s="45">
        <v>2073</v>
      </c>
      <c r="B54" s="131">
        <v>2.3779110217608723</v>
      </c>
      <c r="C54" s="101">
        <f t="shared" si="1"/>
        <v>1.7125152180378134E-2</v>
      </c>
      <c r="D54" s="121">
        <f t="shared" si="2"/>
        <v>237.79110217608724</v>
      </c>
    </row>
    <row r="55" spans="1:4" x14ac:dyDescent="0.25">
      <c r="A55" s="45">
        <v>2074</v>
      </c>
      <c r="B55" s="131">
        <v>2.4186331098799259</v>
      </c>
      <c r="C55" s="101">
        <f t="shared" si="1"/>
        <v>1.7125152180378134E-2</v>
      </c>
      <c r="D55" s="121">
        <f t="shared" si="2"/>
        <v>241.86331098799258</v>
      </c>
    </row>
    <row r="56" spans="1:4" x14ac:dyDescent="0.25">
      <c r="A56" s="45">
        <v>2075</v>
      </c>
      <c r="B56" s="131">
        <v>2.460052569955121</v>
      </c>
      <c r="C56" s="101">
        <f t="shared" si="1"/>
        <v>1.7125152180378134E-2</v>
      </c>
      <c r="D56" s="121">
        <f t="shared" si="2"/>
        <v>246.00525699551207</v>
      </c>
    </row>
    <row r="57" spans="1:4" x14ac:dyDescent="0.25">
      <c r="A57" s="45">
        <v>2076</v>
      </c>
      <c r="B57" s="131">
        <v>2.5021813445873327</v>
      </c>
      <c r="C57" s="101">
        <f t="shared" si="1"/>
        <v>1.7125152180378134E-2</v>
      </c>
      <c r="D57" s="121">
        <f t="shared" si="2"/>
        <v>250.21813445873326</v>
      </c>
    </row>
    <row r="58" spans="1:4" x14ac:dyDescent="0.25">
      <c r="A58" s="45">
        <v>2077</v>
      </c>
      <c r="B58" s="131">
        <v>2.545031580896294</v>
      </c>
      <c r="C58" s="101">
        <f t="shared" si="1"/>
        <v>1.7125152180378134E-2</v>
      </c>
      <c r="D58" s="121">
        <f t="shared" si="2"/>
        <v>254.50315808962938</v>
      </c>
    </row>
    <row r="59" spans="1:4" x14ac:dyDescent="0.25">
      <c r="A59" s="45">
        <v>2078</v>
      </c>
      <c r="B59" s="131">
        <v>2.5886156340230113</v>
      </c>
      <c r="C59" s="101">
        <f t="shared" si="1"/>
        <v>1.7125152180378134E-2</v>
      </c>
      <c r="D59" s="121">
        <f t="shared" si="2"/>
        <v>258.8615634023011</v>
      </c>
    </row>
    <row r="60" spans="1:4" x14ac:dyDescent="0.25">
      <c r="A60" s="45">
        <v>2079</v>
      </c>
      <c r="B60" s="131">
        <v>2.6329460706921615</v>
      </c>
      <c r="C60" s="101">
        <f t="shared" si="1"/>
        <v>1.7125152180378134E-2</v>
      </c>
      <c r="D60" s="121">
        <f t="shared" si="2"/>
        <v>263.29460706921611</v>
      </c>
    </row>
    <row r="61" spans="1:4" x14ac:dyDescent="0.25">
      <c r="A61" s="45">
        <v>2080</v>
      </c>
      <c r="B61" s="131">
        <v>2.6780356728354935</v>
      </c>
      <c r="C61" s="101">
        <f t="shared" si="1"/>
        <v>1.7125152180378134E-2</v>
      </c>
      <c r="D61" s="121">
        <f t="shared" si="2"/>
        <v>267.80356728354928</v>
      </c>
    </row>
    <row r="62" spans="1:4" x14ac:dyDescent="0.25">
      <c r="A62" s="45">
        <v>2081</v>
      </c>
      <c r="B62" s="131">
        <v>2.7238974412772827</v>
      </c>
      <c r="C62" s="101">
        <f t="shared" si="1"/>
        <v>1.7125152180378134E-2</v>
      </c>
      <c r="D62" s="121">
        <f t="shared" si="2"/>
        <v>272.38974412772819</v>
      </c>
    </row>
    <row r="63" spans="1:4" x14ac:dyDescent="0.25">
      <c r="A63" s="45">
        <v>2082</v>
      </c>
      <c r="B63" s="131">
        <v>2.770544599482899</v>
      </c>
      <c r="C63" s="101">
        <f t="shared" si="1"/>
        <v>1.7125152180378134E-2</v>
      </c>
      <c r="D63" s="121">
        <f t="shared" si="2"/>
        <v>277.05445994828978</v>
      </c>
    </row>
    <row r="64" spans="1:4" x14ac:dyDescent="0.25">
      <c r="A64" s="45">
        <v>2083</v>
      </c>
      <c r="B64" s="131">
        <v>2.8179905973715682</v>
      </c>
      <c r="C64" s="101">
        <f t="shared" si="1"/>
        <v>1.7125152180378134E-2</v>
      </c>
      <c r="D64" s="121">
        <f t="shared" si="2"/>
        <v>281.79905973715671</v>
      </c>
    </row>
    <row r="65" spans="1:4" x14ac:dyDescent="0.25">
      <c r="A65" s="45">
        <v>2084</v>
      </c>
      <c r="B65" s="131">
        <v>2.8662491151944312</v>
      </c>
      <c r="C65" s="101">
        <f t="shared" si="1"/>
        <v>1.7125152180378134E-2</v>
      </c>
      <c r="D65" s="121">
        <f t="shared" si="2"/>
        <v>286.624911519443</v>
      </c>
    </row>
    <row r="66" spans="1:4" x14ac:dyDescent="0.25">
      <c r="A66" s="45">
        <v>2085</v>
      </c>
      <c r="B66" s="131">
        <v>2.91533406747901</v>
      </c>
      <c r="C66" s="101">
        <f t="shared" si="1"/>
        <v>1.7125152180378134E-2</v>
      </c>
      <c r="D66" s="121">
        <f t="shared" si="2"/>
        <v>291.53340674790087</v>
      </c>
    </row>
    <row r="67" spans="1:4" x14ac:dyDescent="0.25">
      <c r="A67" s="45">
        <v>2086</v>
      </c>
      <c r="B67" s="131">
        <v>2.9652596070412289</v>
      </c>
      <c r="C67" s="101">
        <f t="shared" si="1"/>
        <v>1.7125152180378134E-2</v>
      </c>
      <c r="D67" s="121">
        <f t="shared" si="2"/>
        <v>296.52596070412272</v>
      </c>
    </row>
    <row r="68" spans="1:4" x14ac:dyDescent="0.25">
      <c r="A68" s="45">
        <v>2087</v>
      </c>
      <c r="B68" s="131">
        <v>3.0160401290661381</v>
      </c>
      <c r="C68" s="101">
        <f t="shared" si="1"/>
        <v>1.7125152180378134E-2</v>
      </c>
      <c r="D68" s="121">
        <f t="shared" ref="D68:D84" si="3">D67*(1+C68)</f>
        <v>301.60401290661366</v>
      </c>
    </row>
    <row r="69" spans="1:4" x14ac:dyDescent="0.25">
      <c r="A69" s="45">
        <v>2088</v>
      </c>
      <c r="B69" s="131">
        <v>3.0676902752585229</v>
      </c>
      <c r="C69" s="101">
        <f t="shared" ref="C69:C84" si="4">B69/B68-1</f>
        <v>1.7125152180378134E-2</v>
      </c>
      <c r="D69" s="121">
        <f t="shared" si="3"/>
        <v>306.76902752585215</v>
      </c>
    </row>
    <row r="70" spans="1:4" x14ac:dyDescent="0.25">
      <c r="A70" s="45">
        <v>2089</v>
      </c>
      <c r="B70" s="131">
        <v>3.1202249380645912</v>
      </c>
      <c r="C70" s="101">
        <f t="shared" si="4"/>
        <v>1.7125152180378134E-2</v>
      </c>
      <c r="D70" s="121">
        <f t="shared" si="3"/>
        <v>312.02249380645895</v>
      </c>
    </row>
    <row r="71" spans="1:4" x14ac:dyDescent="0.25">
      <c r="A71" s="45">
        <v>2090</v>
      </c>
      <c r="B71" s="131">
        <v>3.1736592649659583</v>
      </c>
      <c r="C71" s="101">
        <f t="shared" si="4"/>
        <v>1.7125152180378134E-2</v>
      </c>
      <c r="D71" s="121">
        <f t="shared" si="3"/>
        <v>317.36592649659565</v>
      </c>
    </row>
    <row r="72" spans="1:4" x14ac:dyDescent="0.25">
      <c r="A72" s="45">
        <v>2091</v>
      </c>
      <c r="B72" s="131">
        <v>3.2280086628471674</v>
      </c>
      <c r="C72" s="101">
        <f t="shared" si="4"/>
        <v>1.7125152180378134E-2</v>
      </c>
      <c r="D72" s="121">
        <f t="shared" si="3"/>
        <v>322.80086628471656</v>
      </c>
    </row>
    <row r="73" spans="1:4" x14ac:dyDescent="0.25">
      <c r="A73" s="45">
        <v>2092</v>
      </c>
      <c r="B73" s="131">
        <v>3.2832888024380043</v>
      </c>
      <c r="C73" s="101">
        <f t="shared" si="4"/>
        <v>1.7125152180378134E-2</v>
      </c>
      <c r="D73" s="121">
        <f t="shared" si="3"/>
        <v>328.3288802438002</v>
      </c>
    </row>
    <row r="74" spans="1:4" x14ac:dyDescent="0.25">
      <c r="A74" s="45">
        <v>2093</v>
      </c>
      <c r="B74" s="131">
        <v>3.3395156228318865</v>
      </c>
      <c r="C74" s="101">
        <f t="shared" si="4"/>
        <v>1.7125152180378134E-2</v>
      </c>
      <c r="D74" s="121">
        <f t="shared" si="3"/>
        <v>333.95156228318842</v>
      </c>
    </row>
    <row r="75" spans="1:4" x14ac:dyDescent="0.25">
      <c r="A75" s="45">
        <v>2094</v>
      </c>
      <c r="B75" s="131">
        <v>3.3967053360816331</v>
      </c>
      <c r="C75" s="101">
        <f t="shared" si="4"/>
        <v>1.7125152180378134E-2</v>
      </c>
      <c r="D75" s="121">
        <f t="shared" si="3"/>
        <v>339.67053360816305</v>
      </c>
    </row>
    <row r="76" spans="1:4" x14ac:dyDescent="0.25">
      <c r="A76" s="45">
        <v>2095</v>
      </c>
      <c r="B76" s="131">
        <v>3.4548744318739333</v>
      </c>
      <c r="C76" s="101">
        <f t="shared" si="4"/>
        <v>1.7125152180378134E-2</v>
      </c>
      <c r="D76" s="121">
        <f t="shared" si="3"/>
        <v>345.48744318739307</v>
      </c>
    </row>
    <row r="77" spans="1:4" x14ac:dyDescent="0.25">
      <c r="A77" s="45">
        <v>2096</v>
      </c>
      <c r="B77" s="131">
        <v>3.514039682283872</v>
      </c>
      <c r="C77" s="101">
        <f t="shared" si="4"/>
        <v>1.7125152180378134E-2</v>
      </c>
      <c r="D77" s="121">
        <f t="shared" si="3"/>
        <v>351.40396822838693</v>
      </c>
    </row>
    <row r="78" spans="1:4" x14ac:dyDescent="0.25">
      <c r="A78" s="45">
        <v>2097</v>
      </c>
      <c r="B78" s="131">
        <v>3.5742181466108711</v>
      </c>
      <c r="C78" s="101">
        <f t="shared" si="4"/>
        <v>1.7125152180378134E-2</v>
      </c>
      <c r="D78" s="121">
        <f t="shared" si="3"/>
        <v>357.42181466108684</v>
      </c>
    </row>
    <row r="79" spans="1:4" x14ac:dyDescent="0.25">
      <c r="A79" s="45">
        <v>2098</v>
      </c>
      <c r="B79" s="131">
        <v>3.6354271762974513</v>
      </c>
      <c r="C79" s="101">
        <f t="shared" si="4"/>
        <v>1.7125152180378134E-2</v>
      </c>
      <c r="D79" s="121">
        <f t="shared" si="3"/>
        <v>363.54271762974486</v>
      </c>
    </row>
    <row r="80" spans="1:4" x14ac:dyDescent="0.25">
      <c r="A80" s="45">
        <v>2099</v>
      </c>
      <c r="B80" s="131">
        <v>3.6976844199322274</v>
      </c>
      <c r="C80" s="101">
        <f t="shared" si="4"/>
        <v>1.7125152180378134E-2</v>
      </c>
      <c r="D80" s="121">
        <f t="shared" si="3"/>
        <v>369.7684419932225</v>
      </c>
    </row>
    <row r="81" spans="1:10" x14ac:dyDescent="0.25">
      <c r="A81" s="45">
        <v>2100</v>
      </c>
      <c r="B81" s="131">
        <v>3.7610078283385802</v>
      </c>
      <c r="C81" s="101">
        <f t="shared" si="4"/>
        <v>1.7125152180378134E-2</v>
      </c>
      <c r="D81" s="121">
        <f t="shared" si="3"/>
        <v>376.10078283385775</v>
      </c>
    </row>
    <row r="82" spans="1:10" x14ac:dyDescent="0.25">
      <c r="A82" s="45">
        <v>2101</v>
      </c>
      <c r="B82" s="131">
        <v>3.825415659750472</v>
      </c>
      <c r="C82" s="101">
        <f t="shared" si="4"/>
        <v>1.7125152180378134E-2</v>
      </c>
      <c r="D82" s="121">
        <f t="shared" si="3"/>
        <v>382.54156597504692</v>
      </c>
    </row>
    <row r="83" spans="1:10" x14ac:dyDescent="0.25">
      <c r="A83" s="45">
        <v>2102</v>
      </c>
      <c r="B83" s="131">
        <v>3.8909264850769003</v>
      </c>
      <c r="C83" s="101">
        <f t="shared" si="4"/>
        <v>1.7125152180378134E-2</v>
      </c>
      <c r="D83" s="121">
        <f t="shared" si="3"/>
        <v>389.09264850768977</v>
      </c>
    </row>
    <row r="84" spans="1:10" x14ac:dyDescent="0.25">
      <c r="A84" s="45">
        <f>A83+1</f>
        <v>2103</v>
      </c>
      <c r="C84" s="101">
        <f t="shared" si="4"/>
        <v>-1</v>
      </c>
      <c r="D84" s="121">
        <f t="shared" si="3"/>
        <v>0</v>
      </c>
    </row>
    <row r="85" spans="1:10" x14ac:dyDescent="0.25">
      <c r="A85" s="45"/>
    </row>
    <row r="86" spans="1:10" x14ac:dyDescent="0.25">
      <c r="A86" s="136" t="s">
        <v>105</v>
      </c>
      <c r="D86" s="116"/>
      <c r="E86" s="98"/>
    </row>
    <row r="87" spans="1:10" x14ac:dyDescent="0.25">
      <c r="A87" s="137"/>
      <c r="B87" s="137"/>
      <c r="C87" s="137"/>
      <c r="D87" s="137"/>
      <c r="E87" s="137"/>
      <c r="F87" s="137"/>
      <c r="G87" s="137"/>
      <c r="H87" s="137"/>
      <c r="I87" s="137"/>
      <c r="J87" s="137"/>
    </row>
    <row r="88" spans="1:10" x14ac:dyDescent="0.25">
      <c r="A88" s="38" t="s">
        <v>106</v>
      </c>
      <c r="B88" s="38" t="s">
        <v>107</v>
      </c>
      <c r="C88" s="137"/>
      <c r="D88" s="137"/>
      <c r="E88" s="137"/>
      <c r="F88" s="137"/>
      <c r="G88" s="137"/>
      <c r="H88" s="137"/>
      <c r="I88" s="137"/>
      <c r="J88" s="137"/>
    </row>
    <row r="89" spans="1:10" x14ac:dyDescent="0.25">
      <c r="A89" s="38" t="s">
        <v>108</v>
      </c>
      <c r="B89" s="38" t="s">
        <v>109</v>
      </c>
      <c r="C89" s="137"/>
      <c r="D89" s="137"/>
      <c r="E89" s="137"/>
      <c r="F89" s="137"/>
      <c r="G89" s="137"/>
      <c r="H89" s="137"/>
      <c r="I89" s="137"/>
      <c r="J89" s="137"/>
    </row>
    <row r="90" spans="1:10" x14ac:dyDescent="0.25">
      <c r="A90" s="38" t="s">
        <v>110</v>
      </c>
      <c r="B90" s="38" t="s">
        <v>111</v>
      </c>
      <c r="C90" s="137"/>
      <c r="D90" s="137"/>
      <c r="E90" s="137"/>
      <c r="F90" s="137"/>
      <c r="G90" s="137"/>
      <c r="H90" s="137"/>
      <c r="I90" s="137"/>
      <c r="J90" s="137"/>
    </row>
  </sheetData>
  <mergeCells count="1">
    <mergeCell ref="B1:C1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49"/>
  <sheetViews>
    <sheetView topLeftCell="A7" workbookViewId="0">
      <selection activeCell="A15" sqref="A15"/>
    </sheetView>
  </sheetViews>
  <sheetFormatPr defaultRowHeight="15" x14ac:dyDescent="0.25"/>
  <cols>
    <col min="1" max="1" width="9.140625" style="38"/>
    <col min="2" max="2" width="12.5703125" style="38" customWidth="1"/>
    <col min="3" max="3" width="12.42578125" style="38" customWidth="1"/>
    <col min="4" max="4" width="12.140625" style="38" customWidth="1"/>
    <col min="5" max="5" width="11.7109375" style="38" customWidth="1"/>
    <col min="6" max="6" width="11.42578125" style="38" customWidth="1"/>
    <col min="7" max="7" width="18.85546875" style="38" customWidth="1"/>
    <col min="8" max="15" width="21" style="38" customWidth="1"/>
    <col min="16" max="16384" width="9.140625" style="38"/>
  </cols>
  <sheetData>
    <row r="1" spans="1:15" x14ac:dyDescent="0.25">
      <c r="A1" s="5" t="s">
        <v>8</v>
      </c>
      <c r="B1" s="5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5" x14ac:dyDescent="0.25">
      <c r="A2" s="5" t="s">
        <v>4</v>
      </c>
      <c r="B2" s="5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4" spans="1:15" x14ac:dyDescent="0.25">
      <c r="A4" s="38" t="s">
        <v>6</v>
      </c>
    </row>
    <row r="5" spans="1:15" x14ac:dyDescent="0.25">
      <c r="A5" s="38" t="s">
        <v>7</v>
      </c>
    </row>
    <row r="7" spans="1:15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x14ac:dyDescent="0.25">
      <c r="A8" s="117"/>
      <c r="B8" s="209" t="s">
        <v>112</v>
      </c>
      <c r="C8" s="209"/>
      <c r="D8" s="209"/>
      <c r="E8" s="209"/>
      <c r="F8" s="209"/>
      <c r="G8" s="208" t="s">
        <v>117</v>
      </c>
      <c r="H8" s="208"/>
      <c r="I8" s="208"/>
      <c r="J8" s="208"/>
      <c r="K8" s="208"/>
      <c r="L8" s="208"/>
      <c r="M8" s="166"/>
      <c r="N8" s="166"/>
      <c r="O8" s="166"/>
    </row>
    <row r="9" spans="1:15" ht="15" customHeight="1" x14ac:dyDescent="0.25">
      <c r="A9" s="138"/>
      <c r="B9" s="209"/>
      <c r="C9" s="209"/>
      <c r="D9" s="209"/>
      <c r="E9" s="209"/>
      <c r="F9" s="209"/>
      <c r="G9" s="208"/>
      <c r="H9" s="208"/>
      <c r="I9" s="208"/>
      <c r="J9" s="208"/>
      <c r="K9" s="208"/>
      <c r="L9" s="208"/>
      <c r="M9" s="165"/>
      <c r="N9" s="165"/>
      <c r="O9" s="165"/>
    </row>
    <row r="10" spans="1:15" x14ac:dyDescent="0.25">
      <c r="A10" s="138"/>
      <c r="B10" s="209"/>
      <c r="C10" s="209"/>
      <c r="D10" s="209"/>
      <c r="E10" s="209"/>
      <c r="F10" s="209"/>
      <c r="G10" s="208"/>
      <c r="H10" s="208"/>
      <c r="I10" s="208"/>
      <c r="J10" s="208"/>
      <c r="K10" s="208"/>
      <c r="L10" s="208"/>
      <c r="M10" s="165"/>
      <c r="N10" s="165"/>
      <c r="O10" s="165"/>
    </row>
    <row r="11" spans="1:15" x14ac:dyDescent="0.25">
      <c r="A11" s="167" t="s">
        <v>44</v>
      </c>
      <c r="B11" s="168">
        <v>2022</v>
      </c>
      <c r="C11" s="168">
        <v>2023</v>
      </c>
      <c r="D11" s="168">
        <v>2031</v>
      </c>
      <c r="E11" s="168">
        <v>2034</v>
      </c>
      <c r="F11" s="168">
        <v>2036</v>
      </c>
      <c r="G11" s="168">
        <v>2022</v>
      </c>
      <c r="H11" s="168">
        <v>2023</v>
      </c>
      <c r="I11" s="168">
        <v>2031</v>
      </c>
      <c r="J11" s="168">
        <v>2034</v>
      </c>
      <c r="K11" s="168">
        <v>2036</v>
      </c>
      <c r="L11" s="207" t="s">
        <v>5</v>
      </c>
      <c r="M11" s="165"/>
      <c r="N11" s="165"/>
      <c r="O11" s="165"/>
    </row>
    <row r="12" spans="1:15" x14ac:dyDescent="0.25">
      <c r="A12" s="138"/>
      <c r="B12" s="168"/>
      <c r="C12" s="168"/>
      <c r="D12" s="168"/>
      <c r="E12" s="168"/>
      <c r="F12" s="168"/>
      <c r="G12" s="169">
        <f>'Levelized PV Rev Rqmt'!C10</f>
        <v>105000</v>
      </c>
      <c r="H12" s="169">
        <f>'Levelized PV Rev Rqmt'!C11</f>
        <v>6986000</v>
      </c>
      <c r="I12" s="169">
        <f>'Levelized PV Rev Rqmt'!C19</f>
        <v>40768.876029914849</v>
      </c>
      <c r="J12" s="169">
        <f>'Levelized PV Rev Rqmt'!C22</f>
        <v>398531.52978018246</v>
      </c>
      <c r="K12" s="169">
        <f>'Levelized PV Rev Rqmt'!C24</f>
        <v>469461.91102006758</v>
      </c>
      <c r="L12" s="207"/>
      <c r="M12" s="165"/>
      <c r="N12" s="165"/>
      <c r="O12" s="165"/>
    </row>
    <row r="13" spans="1:15" x14ac:dyDescent="0.25">
      <c r="A13" s="139">
        <v>1</v>
      </c>
      <c r="B13" s="140">
        <v>3.71</v>
      </c>
      <c r="C13" s="140">
        <v>3.8753267405506704</v>
      </c>
      <c r="D13" s="140">
        <v>6.26</v>
      </c>
      <c r="E13" s="140">
        <v>8.39</v>
      </c>
      <c r="F13" s="140">
        <v>10.99</v>
      </c>
      <c r="G13" s="47">
        <f>G$12*$B13/100</f>
        <v>3895.5</v>
      </c>
      <c r="H13" s="47"/>
      <c r="I13" s="47"/>
      <c r="J13" s="47"/>
      <c r="K13" s="47"/>
      <c r="L13" s="170">
        <f>SUM(G13:K13)</f>
        <v>3895.5</v>
      </c>
      <c r="M13" s="140"/>
      <c r="N13" s="140"/>
      <c r="O13" s="140"/>
    </row>
    <row r="14" spans="1:15" x14ac:dyDescent="0.25">
      <c r="A14" s="139">
        <v>2</v>
      </c>
      <c r="B14" s="140">
        <v>13.026774641714287</v>
      </c>
      <c r="C14" s="140">
        <v>13.338568457503758</v>
      </c>
      <c r="D14" s="140">
        <v>17.873751232623377</v>
      </c>
      <c r="E14" s="140">
        <v>21.912898391714286</v>
      </c>
      <c r="F14" s="140">
        <v>26.84963380838095</v>
      </c>
      <c r="G14" s="47">
        <f t="shared" ref="G14:G32" si="0">G$12*$B14/100</f>
        <v>13678.113373800001</v>
      </c>
      <c r="H14" s="47">
        <f>H$12*$C13/100</f>
        <v>270730.32609486982</v>
      </c>
      <c r="I14" s="47"/>
      <c r="J14" s="47"/>
      <c r="K14" s="47"/>
      <c r="L14" s="170">
        <f t="shared" ref="L14:L32" si="1">SUM(G14:K14)</f>
        <v>284408.43946866982</v>
      </c>
      <c r="M14" s="140"/>
      <c r="N14" s="140"/>
      <c r="O14" s="140"/>
    </row>
    <row r="15" spans="1:15" x14ac:dyDescent="0.25">
      <c r="A15" s="139">
        <f t="shared" ref="A15:A32" si="2">A14+1</f>
        <v>3</v>
      </c>
      <c r="B15" s="140">
        <v>12.549816170377143</v>
      </c>
      <c r="C15" s="140">
        <v>12.844456433535036</v>
      </c>
      <c r="D15" s="140">
        <v>17.130132988558962</v>
      </c>
      <c r="E15" s="140">
        <v>20.947063670377144</v>
      </c>
      <c r="F15" s="140">
        <v>25.612201170377148</v>
      </c>
      <c r="G15" s="47">
        <f t="shared" si="0"/>
        <v>13177.306978896</v>
      </c>
      <c r="H15" s="47">
        <f t="shared" ref="H15:H32" si="3">H$12*$C14/100</f>
        <v>931832.39244121255</v>
      </c>
      <c r="I15" s="47"/>
      <c r="J15" s="47"/>
      <c r="K15" s="47"/>
      <c r="L15" s="170">
        <f t="shared" si="1"/>
        <v>945009.69942010858</v>
      </c>
      <c r="M15" s="140"/>
      <c r="N15" s="140"/>
      <c r="O15" s="140"/>
    </row>
    <row r="16" spans="1:15" x14ac:dyDescent="0.25">
      <c r="A16" s="139">
        <f t="shared" si="2"/>
        <v>4</v>
      </c>
      <c r="B16" s="140">
        <v>12.084940976746971</v>
      </c>
      <c r="C16" s="140">
        <v>12.362427687273286</v>
      </c>
      <c r="D16" s="140">
        <v>16.398598022201519</v>
      </c>
      <c r="E16" s="140">
        <v>19.993312226746973</v>
      </c>
      <c r="F16" s="140">
        <v>24.386851810080309</v>
      </c>
      <c r="G16" s="47">
        <f t="shared" si="0"/>
        <v>12689.188025584319</v>
      </c>
      <c r="H16" s="47">
        <f t="shared" si="3"/>
        <v>897313.72644675756</v>
      </c>
      <c r="I16" s="47"/>
      <c r="J16" s="47"/>
      <c r="K16" s="47"/>
      <c r="L16" s="170">
        <f t="shared" si="1"/>
        <v>910002.91447234189</v>
      </c>
      <c r="M16" s="140"/>
      <c r="N16" s="140"/>
      <c r="O16" s="140"/>
    </row>
    <row r="17" spans="1:15" x14ac:dyDescent="0.25">
      <c r="A17" s="139">
        <f t="shared" si="2"/>
        <v>5</v>
      </c>
      <c r="B17" s="140">
        <v>11.631182398607214</v>
      </c>
      <c r="C17" s="140">
        <v>11.89151555650195</v>
      </c>
      <c r="D17" s="140">
        <v>15.678179671334485</v>
      </c>
      <c r="E17" s="140">
        <v>19.050677398607213</v>
      </c>
      <c r="F17" s="140">
        <v>23.172619065273885</v>
      </c>
      <c r="G17" s="47">
        <f t="shared" si="0"/>
        <v>12212.741518537574</v>
      </c>
      <c r="H17" s="47">
        <f t="shared" si="3"/>
        <v>863639.19823291164</v>
      </c>
      <c r="I17" s="47"/>
      <c r="J17" s="47"/>
      <c r="K17" s="47"/>
      <c r="L17" s="170">
        <f t="shared" si="1"/>
        <v>875851.93975144927</v>
      </c>
      <c r="M17" s="140"/>
      <c r="N17" s="140"/>
      <c r="O17" s="140"/>
    </row>
    <row r="18" spans="1:15" x14ac:dyDescent="0.25">
      <c r="A18" s="139">
        <f t="shared" si="2"/>
        <v>6</v>
      </c>
      <c r="B18" s="140">
        <v>11.187651106718636</v>
      </c>
      <c r="C18" s="140">
        <v>11.430830711981795</v>
      </c>
      <c r="D18" s="140">
        <v>14.967988606718635</v>
      </c>
      <c r="E18" s="140">
        <v>18.118269856718637</v>
      </c>
      <c r="F18" s="140">
        <v>45.562523605376171</v>
      </c>
      <c r="G18" s="47">
        <f t="shared" si="0"/>
        <v>11747.03366205457</v>
      </c>
      <c r="H18" s="47">
        <f t="shared" si="3"/>
        <v>830741.27677722613</v>
      </c>
      <c r="I18" s="47"/>
      <c r="J18" s="47"/>
      <c r="K18" s="47"/>
      <c r="L18" s="170">
        <f t="shared" si="1"/>
        <v>842488.3104392807</v>
      </c>
      <c r="M18" s="140"/>
      <c r="N18" s="140"/>
      <c r="O18" s="140"/>
    </row>
    <row r="19" spans="1:15" x14ac:dyDescent="0.25">
      <c r="A19" s="139">
        <f t="shared" si="2"/>
        <v>7</v>
      </c>
      <c r="B19" s="140">
        <v>10.753528918181146</v>
      </c>
      <c r="C19" s="140">
        <v>10.979554970812725</v>
      </c>
      <c r="D19" s="140">
        <v>14.267206645453873</v>
      </c>
      <c r="E19" s="140">
        <v>17.195271418181147</v>
      </c>
      <c r="F19" s="140"/>
      <c r="G19" s="47">
        <f t="shared" si="0"/>
        <v>11291.205364090205</v>
      </c>
      <c r="H19" s="47">
        <f t="shared" si="3"/>
        <v>798557.83353904809</v>
      </c>
      <c r="I19" s="47"/>
      <c r="J19" s="47"/>
      <c r="K19" s="47"/>
      <c r="L19" s="170">
        <f t="shared" si="1"/>
        <v>809849.03890313825</v>
      </c>
      <c r="M19" s="140"/>
      <c r="N19" s="140"/>
      <c r="O19" s="140"/>
    </row>
    <row r="20" spans="1:15" x14ac:dyDescent="0.25">
      <c r="A20" s="139">
        <f t="shared" si="2"/>
        <v>8</v>
      </c>
      <c r="B20" s="140">
        <v>10.328063104726654</v>
      </c>
      <c r="C20" s="140">
        <v>10.536935604726652</v>
      </c>
      <c r="D20" s="140">
        <v>13.57508105927211</v>
      </c>
      <c r="E20" s="140">
        <v>35.965473564247652</v>
      </c>
      <c r="F20" s="140"/>
      <c r="G20" s="47">
        <f t="shared" si="0"/>
        <v>10844.466259962986</v>
      </c>
      <c r="H20" s="47">
        <f t="shared" si="3"/>
        <v>767031.71026097704</v>
      </c>
      <c r="I20" s="47"/>
      <c r="J20" s="47"/>
      <c r="K20" s="47"/>
      <c r="L20" s="170">
        <f t="shared" si="1"/>
        <v>777876.17652094003</v>
      </c>
      <c r="M20" s="140"/>
      <c r="N20" s="140"/>
      <c r="O20" s="140"/>
    </row>
    <row r="21" spans="1:15" x14ac:dyDescent="0.25">
      <c r="A21" s="139">
        <f t="shared" si="2"/>
        <v>9</v>
      </c>
      <c r="B21" s="140">
        <v>9.9105611563485212</v>
      </c>
      <c r="C21" s="140">
        <v>10.102280103716939</v>
      </c>
      <c r="D21" s="140">
        <v>12.890919338166704</v>
      </c>
      <c r="E21" s="140"/>
      <c r="F21" s="140"/>
      <c r="G21" s="47">
        <f t="shared" si="0"/>
        <v>10406.089214165948</v>
      </c>
      <c r="H21" s="47">
        <f t="shared" si="3"/>
        <v>736110.32134620403</v>
      </c>
      <c r="I21" s="47"/>
      <c r="J21" s="47"/>
      <c r="K21" s="47"/>
      <c r="L21" s="170">
        <f t="shared" si="1"/>
        <v>746516.41056036996</v>
      </c>
      <c r="M21" s="140"/>
      <c r="N21" s="140"/>
      <c r="O21" s="140"/>
    </row>
    <row r="22" spans="1:15" x14ac:dyDescent="0.25">
      <c r="A22" s="139">
        <f t="shared" si="2"/>
        <v>10</v>
      </c>
      <c r="B22" s="140">
        <v>9.5003859638406389</v>
      </c>
      <c r="C22" s="140">
        <v>9.6749513585774789</v>
      </c>
      <c r="D22" s="140">
        <v>12.21408437293155</v>
      </c>
      <c r="E22" s="140"/>
      <c r="F22" s="140"/>
      <c r="G22" s="47">
        <f t="shared" si="0"/>
        <v>9975.4052620326711</v>
      </c>
      <c r="H22" s="47">
        <f t="shared" si="3"/>
        <v>705745.28804566537</v>
      </c>
      <c r="I22" s="47">
        <f>I$12*$D13/100</f>
        <v>2552.1316394726691</v>
      </c>
      <c r="J22" s="47"/>
      <c r="K22" s="47"/>
      <c r="L22" s="170">
        <f t="shared" si="1"/>
        <v>718272.82494717068</v>
      </c>
      <c r="M22" s="140"/>
      <c r="N22" s="140"/>
      <c r="O22" s="140"/>
    </row>
    <row r="23" spans="1:15" x14ac:dyDescent="0.25">
      <c r="A23" s="139">
        <f t="shared" si="2"/>
        <v>11</v>
      </c>
      <c r="B23" s="140">
        <v>9.0969513867333891</v>
      </c>
      <c r="C23" s="140">
        <v>9.2543632288386508</v>
      </c>
      <c r="D23" s="140">
        <v>27.474495854257906</v>
      </c>
      <c r="E23" s="140"/>
      <c r="F23" s="140"/>
      <c r="G23" s="47">
        <f t="shared" si="0"/>
        <v>9551.7989560700589</v>
      </c>
      <c r="H23" s="47">
        <f t="shared" si="3"/>
        <v>675892.10191022267</v>
      </c>
      <c r="I23" s="47">
        <f t="shared" ref="I23:I32" si="4">I$12*$D14/100</f>
        <v>7286.9274819236016</v>
      </c>
      <c r="J23" s="47"/>
      <c r="K23" s="47"/>
      <c r="L23" s="170">
        <f t="shared" si="1"/>
        <v>692730.82834821637</v>
      </c>
      <c r="M23" s="140"/>
      <c r="N23" s="140"/>
      <c r="O23" s="140"/>
    </row>
    <row r="24" spans="1:15" x14ac:dyDescent="0.25">
      <c r="A24" s="139">
        <f t="shared" si="2"/>
        <v>12</v>
      </c>
      <c r="B24" s="140">
        <v>8.6997181757947182</v>
      </c>
      <c r="C24" s="140">
        <v>8.8399764652683999</v>
      </c>
      <c r="D24" s="140"/>
      <c r="E24" s="140"/>
      <c r="F24" s="140"/>
      <c r="G24" s="47">
        <f t="shared" si="0"/>
        <v>9134.7040845844549</v>
      </c>
      <c r="H24" s="47">
        <f t="shared" si="3"/>
        <v>646509.81516666815</v>
      </c>
      <c r="I24" s="47">
        <f t="shared" si="4"/>
        <v>6983.7626818651506</v>
      </c>
      <c r="J24" s="47"/>
      <c r="K24" s="47"/>
      <c r="L24" s="170">
        <f t="shared" si="1"/>
        <v>662628.28193311777</v>
      </c>
      <c r="M24" s="140"/>
      <c r="N24" s="140"/>
      <c r="O24" s="140"/>
    </row>
    <row r="25" spans="1:15" x14ac:dyDescent="0.25">
      <c r="A25" s="139">
        <f t="shared" si="2"/>
        <v>13</v>
      </c>
      <c r="B25" s="140">
        <v>8.3081902217311416</v>
      </c>
      <c r="C25" s="140">
        <v>8.4312949585732433</v>
      </c>
      <c r="D25" s="140"/>
      <c r="E25" s="140"/>
      <c r="F25" s="140"/>
      <c r="G25" s="47">
        <f t="shared" si="0"/>
        <v>8723.5997328176982</v>
      </c>
      <c r="H25" s="47">
        <f t="shared" si="3"/>
        <v>617560.75586365047</v>
      </c>
      <c r="I25" s="47">
        <f t="shared" si="4"/>
        <v>6685.5240983154054</v>
      </c>
      <c r="J25" s="47">
        <f>J$12*$E13/100</f>
        <v>33436.795348557316</v>
      </c>
      <c r="K25" s="47"/>
      <c r="L25" s="170">
        <f t="shared" si="1"/>
        <v>666406.67504334089</v>
      </c>
      <c r="M25" s="140"/>
      <c r="N25" s="140"/>
      <c r="O25" s="140"/>
    </row>
    <row r="26" spans="1:15" x14ac:dyDescent="0.25">
      <c r="A26" s="139">
        <f t="shared" si="2"/>
        <v>14</v>
      </c>
      <c r="B26" s="140">
        <v>7.9219111039926489</v>
      </c>
      <c r="C26" s="140">
        <v>8.027862288203174</v>
      </c>
      <c r="D26" s="140"/>
      <c r="E26" s="140"/>
      <c r="F26" s="140"/>
      <c r="G26" s="47">
        <f t="shared" si="0"/>
        <v>8318.0066591922805</v>
      </c>
      <c r="H26" s="47">
        <f t="shared" si="3"/>
        <v>589010.26580592676</v>
      </c>
      <c r="I26" s="47">
        <f t="shared" si="4"/>
        <v>6391.8176339536676</v>
      </c>
      <c r="J26" s="47">
        <f t="shared" ref="J26:J32" si="5">J$12*$E14/100</f>
        <v>87329.809179675955</v>
      </c>
      <c r="K26" s="47"/>
      <c r="L26" s="170">
        <f t="shared" si="1"/>
        <v>691049.89927874866</v>
      </c>
      <c r="M26" s="140"/>
      <c r="N26" s="140"/>
      <c r="O26" s="140"/>
    </row>
    <row r="27" spans="1:15" x14ac:dyDescent="0.25">
      <c r="A27" s="139">
        <f t="shared" si="2"/>
        <v>15</v>
      </c>
      <c r="B27" s="140">
        <v>7.5404609156732372</v>
      </c>
      <c r="C27" s="140">
        <v>7.6292585472521823</v>
      </c>
      <c r="D27" s="140"/>
      <c r="E27" s="140"/>
      <c r="F27" s="140"/>
      <c r="G27" s="47">
        <f t="shared" si="0"/>
        <v>7917.4839614568991</v>
      </c>
      <c r="H27" s="47">
        <f t="shared" si="3"/>
        <v>560826.45945387369</v>
      </c>
      <c r="I27" s="47">
        <f t="shared" si="4"/>
        <v>6102.280719244899</v>
      </c>
      <c r="J27" s="47">
        <f t="shared" si="5"/>
        <v>83480.653289582871</v>
      </c>
      <c r="K27" s="47">
        <f>K$12*$F13/100</f>
        <v>51593.86402110543</v>
      </c>
      <c r="L27" s="170">
        <f t="shared" si="1"/>
        <v>709920.74144526385</v>
      </c>
      <c r="M27" s="140"/>
      <c r="N27" s="140"/>
      <c r="O27" s="140"/>
    </row>
    <row r="28" spans="1:15" x14ac:dyDescent="0.25">
      <c r="A28" s="139">
        <f t="shared" si="2"/>
        <v>16</v>
      </c>
      <c r="B28" s="140">
        <v>7.1634533424193787</v>
      </c>
      <c r="C28" s="140">
        <v>7.2350974213667447</v>
      </c>
      <c r="D28" s="140"/>
      <c r="E28" s="140"/>
      <c r="F28" s="140"/>
      <c r="G28" s="47">
        <f t="shared" si="0"/>
        <v>7521.6260095403468</v>
      </c>
      <c r="H28" s="47">
        <f t="shared" si="3"/>
        <v>532980.00211103749</v>
      </c>
      <c r="I28" s="47">
        <f t="shared" si="4"/>
        <v>5816.5797902168624</v>
      </c>
      <c r="J28" s="47">
        <f t="shared" si="5"/>
        <v>79679.653070982968</v>
      </c>
      <c r="K28" s="47">
        <f t="shared" ref="K28:K32" si="6">K$12*$F14/100</f>
        <v>126048.80397871535</v>
      </c>
      <c r="L28" s="170">
        <f t="shared" si="1"/>
        <v>752046.6649604931</v>
      </c>
      <c r="M28" s="140"/>
      <c r="N28" s="140"/>
      <c r="O28" s="140"/>
    </row>
    <row r="29" spans="1:15" x14ac:dyDescent="0.25">
      <c r="A29" s="139">
        <f t="shared" si="2"/>
        <v>17</v>
      </c>
      <c r="B29" s="140">
        <v>6.790532975025827</v>
      </c>
      <c r="C29" s="140">
        <v>6.8450235013416139</v>
      </c>
      <c r="D29" s="140"/>
      <c r="E29" s="140"/>
      <c r="F29" s="140"/>
      <c r="G29" s="47">
        <f t="shared" si="0"/>
        <v>7130.0596237771178</v>
      </c>
      <c r="H29" s="47">
        <f t="shared" si="3"/>
        <v>505443.90585668082</v>
      </c>
      <c r="I29" s="47">
        <f t="shared" si="4"/>
        <v>5534.407968015098</v>
      </c>
      <c r="J29" s="47">
        <f t="shared" si="5"/>
        <v>75922.956070156797</v>
      </c>
      <c r="K29" s="47">
        <f t="shared" si="6"/>
        <v>120239.52906875667</v>
      </c>
      <c r="L29" s="170">
        <f t="shared" si="1"/>
        <v>714270.85858738655</v>
      </c>
      <c r="M29" s="140"/>
      <c r="N29" s="140"/>
      <c r="O29" s="140"/>
    </row>
    <row r="30" spans="1:15" x14ac:dyDescent="0.25">
      <c r="A30" s="139">
        <f t="shared" si="2"/>
        <v>18</v>
      </c>
      <c r="B30" s="140">
        <v>6.4213728370237613</v>
      </c>
      <c r="C30" s="140">
        <v>6.4587098107079699</v>
      </c>
      <c r="D30" s="140"/>
      <c r="E30" s="140"/>
      <c r="F30" s="140"/>
      <c r="G30" s="47">
        <f t="shared" si="0"/>
        <v>6742.4414788749491</v>
      </c>
      <c r="H30" s="47">
        <f t="shared" si="3"/>
        <v>478193.34180372511</v>
      </c>
      <c r="I30" s="47">
        <f t="shared" si="4"/>
        <v>5255.4829240935032</v>
      </c>
      <c r="J30" s="47">
        <f t="shared" si="5"/>
        <v>72207.018029682455</v>
      </c>
      <c r="K30" s="47">
        <f t="shared" si="6"/>
        <v>114486.98054523495</v>
      </c>
      <c r="L30" s="170">
        <f t="shared" si="1"/>
        <v>676885.26478161092</v>
      </c>
      <c r="M30" s="140"/>
      <c r="N30" s="140"/>
      <c r="O30" s="140"/>
    </row>
    <row r="31" spans="1:15" x14ac:dyDescent="0.25">
      <c r="A31" s="139">
        <f t="shared" si="2"/>
        <v>19</v>
      </c>
      <c r="B31" s="140">
        <v>6.0556721100618613</v>
      </c>
      <c r="C31" s="140">
        <v>16.79554610462533</v>
      </c>
      <c r="D31" s="140"/>
      <c r="E31" s="140"/>
      <c r="F31" s="140"/>
      <c r="G31" s="47">
        <f t="shared" si="0"/>
        <v>6358.4557155649536</v>
      </c>
      <c r="H31" s="47">
        <f t="shared" si="3"/>
        <v>451205.46737605875</v>
      </c>
      <c r="I31" s="47">
        <f t="shared" si="4"/>
        <v>4979.5449161896659</v>
      </c>
      <c r="J31" s="47">
        <f t="shared" si="5"/>
        <v>68528.578232731801</v>
      </c>
      <c r="K31" s="47">
        <f t="shared" si="6"/>
        <v>108786.62029723531</v>
      </c>
      <c r="L31" s="170">
        <f t="shared" si="1"/>
        <v>639858.66653778055</v>
      </c>
      <c r="M31" s="140"/>
      <c r="N31" s="140"/>
      <c r="O31" s="140"/>
    </row>
    <row r="32" spans="1:15" x14ac:dyDescent="0.25">
      <c r="A32" s="139">
        <f t="shared" si="2"/>
        <v>20</v>
      </c>
      <c r="B32" s="140">
        <v>16.009512250360913</v>
      </c>
      <c r="C32" s="140"/>
      <c r="D32" s="140"/>
      <c r="E32" s="140"/>
      <c r="F32" s="140"/>
      <c r="G32" s="47">
        <f t="shared" si="0"/>
        <v>16809.987862878959</v>
      </c>
      <c r="H32" s="47">
        <f t="shared" si="3"/>
        <v>1173336.8508691257</v>
      </c>
      <c r="I32" s="47">
        <f t="shared" si="4"/>
        <v>11201.0431546665</v>
      </c>
      <c r="J32" s="47">
        <f t="shared" si="5"/>
        <v>143333.75198828327</v>
      </c>
      <c r="K32" s="47">
        <f t="shared" si="6"/>
        <v>213898.69402676835</v>
      </c>
      <c r="L32" s="170">
        <f t="shared" si="1"/>
        <v>1558580.3279017229</v>
      </c>
      <c r="M32" s="140"/>
      <c r="N32" s="140"/>
      <c r="O32" s="140"/>
    </row>
    <row r="33" spans="2:15" x14ac:dyDescent="0.25"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</row>
    <row r="34" spans="2:15" x14ac:dyDescent="0.25"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</row>
    <row r="35" spans="2:15" x14ac:dyDescent="0.25"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</row>
    <row r="36" spans="2:15" x14ac:dyDescent="0.25"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</row>
    <row r="37" spans="2:15" x14ac:dyDescent="0.25"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</row>
    <row r="38" spans="2:15" x14ac:dyDescent="0.25"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</row>
    <row r="39" spans="2:15" x14ac:dyDescent="0.25"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</row>
    <row r="40" spans="2:15" x14ac:dyDescent="0.25"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</row>
    <row r="41" spans="2:15" x14ac:dyDescent="0.25"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</row>
    <row r="42" spans="2:15" x14ac:dyDescent="0.25"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</row>
    <row r="43" spans="2:15" x14ac:dyDescent="0.25"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</row>
    <row r="44" spans="2:15" x14ac:dyDescent="0.25"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</row>
    <row r="45" spans="2:15" x14ac:dyDescent="0.25"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</row>
    <row r="46" spans="2:15" x14ac:dyDescent="0.25"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</row>
    <row r="47" spans="2:15" x14ac:dyDescent="0.25"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</row>
    <row r="48" spans="2:15" x14ac:dyDescent="0.25">
      <c r="B48" s="142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</row>
    <row r="49" spans="2:15" x14ac:dyDescent="0.25">
      <c r="B49" s="142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</row>
  </sheetData>
  <mergeCells count="3">
    <mergeCell ref="L11:L12"/>
    <mergeCell ref="G8:L10"/>
    <mergeCell ref="B8:F10"/>
  </mergeCells>
  <phoneticPr fontId="0" type="noConversion"/>
  <pageMargins left="0.75" right="0.75" top="1" bottom="1" header="0.5" footer="0.5"/>
  <pageSetup paperSize="5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104"/>
  <sheetViews>
    <sheetView topLeftCell="B7" zoomScale="110" zoomScaleNormal="110" workbookViewId="0">
      <selection activeCell="O11" sqref="O11"/>
    </sheetView>
  </sheetViews>
  <sheetFormatPr defaultColWidth="9.140625" defaultRowHeight="12.75" x14ac:dyDescent="0.2"/>
  <cols>
    <col min="1" max="1" width="5.5703125" style="14" hidden="1" customWidth="1"/>
    <col min="2" max="2" width="6.28515625" style="2" customWidth="1"/>
    <col min="3" max="3" width="12" style="13" bestFit="1" customWidth="1"/>
    <col min="4" max="4" width="5" style="2" customWidth="1"/>
    <col min="5" max="5" width="9.28515625" style="2" customWidth="1"/>
    <col min="6" max="6" width="1.5703125" style="2" customWidth="1"/>
    <col min="7" max="8" width="10" style="2" customWidth="1"/>
    <col min="9" max="9" width="9.140625" style="2" customWidth="1"/>
    <col min="10" max="10" width="11" style="2" customWidth="1"/>
    <col min="11" max="11" width="13.42578125" style="2" customWidth="1"/>
    <col min="12" max="13" width="11.7109375" style="2" customWidth="1"/>
    <col min="14" max="14" width="9.140625" style="2"/>
    <col min="15" max="15" width="9.85546875" style="2" bestFit="1" customWidth="1"/>
    <col min="16" max="16" width="12.140625" style="2" bestFit="1" customWidth="1"/>
    <col min="17" max="17" width="5" style="2" bestFit="1" customWidth="1"/>
    <col min="18" max="18" width="12.85546875" style="2" bestFit="1" customWidth="1"/>
    <col min="19" max="21" width="12.85546875" style="2" customWidth="1"/>
    <col min="22" max="22" width="15.7109375" style="2" bestFit="1" customWidth="1"/>
    <col min="23" max="23" width="9.140625" style="2"/>
    <col min="24" max="24" width="5" style="2" bestFit="1" customWidth="1"/>
    <col min="25" max="25" width="12.42578125" style="2" customWidth="1"/>
    <col min="26" max="26" width="14.7109375" style="2" customWidth="1"/>
    <col min="27" max="28" width="13.28515625" style="2" customWidth="1"/>
    <col min="29" max="29" width="10.85546875" style="2" customWidth="1"/>
    <col min="30" max="32" width="9.140625" style="2"/>
    <col min="33" max="33" width="13" style="2" bestFit="1" customWidth="1"/>
    <col min="34" max="34" width="13.5703125" style="2" customWidth="1"/>
    <col min="35" max="36" width="14" style="2" customWidth="1"/>
    <col min="37" max="37" width="9.85546875" style="2" customWidth="1"/>
    <col min="38" max="38" width="9.140625" style="2"/>
    <col min="39" max="39" width="13" style="2" bestFit="1" customWidth="1"/>
    <col min="40" max="16384" width="9.140625" style="2"/>
  </cols>
  <sheetData>
    <row r="1" spans="1:39" x14ac:dyDescent="0.2">
      <c r="B1" s="15" t="s">
        <v>2</v>
      </c>
      <c r="C1" s="31"/>
      <c r="D1" s="15"/>
      <c r="E1" s="15"/>
      <c r="F1" s="15"/>
      <c r="H1" s="144">
        <v>5.8099999999999999E-2</v>
      </c>
      <c r="I1" s="15"/>
      <c r="J1" s="15"/>
      <c r="K1" s="15"/>
      <c r="L1" s="15"/>
      <c r="M1" s="15"/>
      <c r="N1" s="15"/>
      <c r="O1" s="15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</row>
    <row r="2" spans="1:39" x14ac:dyDescent="0.2">
      <c r="B2" s="16" t="s">
        <v>3</v>
      </c>
      <c r="C2" s="31"/>
      <c r="D2" s="15"/>
      <c r="E2" s="15"/>
      <c r="F2" s="15"/>
      <c r="H2" s="145">
        <v>2022</v>
      </c>
      <c r="I2" s="15"/>
      <c r="J2" s="15"/>
      <c r="K2" s="15"/>
      <c r="L2" s="15"/>
      <c r="M2" s="15"/>
      <c r="N2" s="34"/>
      <c r="O2" s="15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</row>
    <row r="3" spans="1:39" x14ac:dyDescent="0.2">
      <c r="B3" s="16"/>
      <c r="C3" s="31"/>
      <c r="D3" s="15"/>
      <c r="E3" s="15"/>
      <c r="F3" s="15"/>
      <c r="G3" s="143"/>
      <c r="H3" s="15"/>
      <c r="I3" s="15"/>
      <c r="J3" s="15"/>
      <c r="K3" s="15"/>
      <c r="L3" s="15"/>
      <c r="M3" s="15"/>
      <c r="N3" s="34"/>
      <c r="O3" s="15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</row>
    <row r="4" spans="1:39" x14ac:dyDescent="0.2">
      <c r="A4" s="16"/>
      <c r="B4" s="210" t="s">
        <v>87</v>
      </c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W4" s="27"/>
      <c r="AD4" s="27"/>
    </row>
    <row r="5" spans="1:39" ht="12.75" customHeight="1" x14ac:dyDescent="0.2">
      <c r="A5" s="17"/>
      <c r="B5" s="35"/>
      <c r="C5" s="36"/>
      <c r="D5" s="37"/>
      <c r="E5" s="146"/>
      <c r="F5" s="15"/>
      <c r="W5" s="27"/>
      <c r="AD5" s="27"/>
    </row>
    <row r="6" spans="1:39" ht="12.75" customHeight="1" x14ac:dyDescent="0.2">
      <c r="A6" s="26" t="s">
        <v>44</v>
      </c>
      <c r="B6" s="26" t="s">
        <v>44</v>
      </c>
      <c r="C6" s="161" t="s">
        <v>9</v>
      </c>
      <c r="D6" s="157"/>
      <c r="E6" s="211" t="s">
        <v>88</v>
      </c>
      <c r="F6" s="15"/>
      <c r="G6" s="212" t="s">
        <v>18</v>
      </c>
      <c r="H6" s="212" t="s">
        <v>17</v>
      </c>
      <c r="I6" s="212" t="s">
        <v>16</v>
      </c>
      <c r="J6" s="212" t="s">
        <v>113</v>
      </c>
      <c r="K6" s="212" t="s">
        <v>114</v>
      </c>
      <c r="L6" s="212" t="s">
        <v>15</v>
      </c>
      <c r="M6" s="212" t="s">
        <v>115</v>
      </c>
      <c r="N6" s="158" t="s">
        <v>41</v>
      </c>
      <c r="O6" s="158" t="s">
        <v>40</v>
      </c>
      <c r="W6" s="27"/>
      <c r="AD6" s="27"/>
    </row>
    <row r="7" spans="1:39" x14ac:dyDescent="0.2">
      <c r="A7" s="18"/>
      <c r="B7" s="35"/>
      <c r="C7" s="161" t="s">
        <v>10</v>
      </c>
      <c r="D7" s="159"/>
      <c r="E7" s="211"/>
      <c r="F7" s="160"/>
      <c r="G7" s="212"/>
      <c r="H7" s="212"/>
      <c r="I7" s="212"/>
      <c r="J7" s="212"/>
      <c r="K7" s="212"/>
      <c r="L7" s="212"/>
      <c r="M7" s="212"/>
      <c r="N7" s="158" t="s">
        <v>43</v>
      </c>
      <c r="O7" s="158" t="s">
        <v>42</v>
      </c>
      <c r="W7" s="27"/>
      <c r="AD7" s="27"/>
    </row>
    <row r="8" spans="1:39" x14ac:dyDescent="0.2">
      <c r="A8" s="18"/>
      <c r="B8" s="35"/>
      <c r="C8" s="162" t="s">
        <v>14</v>
      </c>
      <c r="D8" s="37"/>
      <c r="E8" s="211"/>
      <c r="F8" s="15"/>
      <c r="G8" s="212"/>
      <c r="H8" s="212"/>
      <c r="I8" s="212"/>
      <c r="J8" s="212"/>
      <c r="K8" s="212"/>
      <c r="L8" s="212"/>
      <c r="M8" s="212"/>
      <c r="N8" s="15"/>
      <c r="O8" s="158" t="s">
        <v>43</v>
      </c>
      <c r="W8" s="27"/>
      <c r="AD8" s="27"/>
    </row>
    <row r="9" spans="1:39" x14ac:dyDescent="0.2">
      <c r="A9" s="19"/>
      <c r="B9" s="20"/>
      <c r="D9" s="20"/>
      <c r="J9" s="25"/>
      <c r="K9" s="25"/>
      <c r="M9" s="25"/>
      <c r="N9" s="1"/>
      <c r="O9" s="32"/>
      <c r="W9" s="27"/>
      <c r="AD9" s="27"/>
    </row>
    <row r="10" spans="1:39" x14ac:dyDescent="0.2">
      <c r="A10" s="19">
        <v>1</v>
      </c>
      <c r="B10" s="20">
        <f>H2</f>
        <v>2022</v>
      </c>
      <c r="C10" s="33">
        <f>'Input Capital &amp; Operating Costs'!C8*'Escalation Sheet'!$D3/'Escalation Sheet'!$D$3</f>
        <v>105000</v>
      </c>
      <c r="D10" s="21"/>
      <c r="E10" s="13">
        <f>'GEN 8%CCA'!L13</f>
        <v>3895.5</v>
      </c>
      <c r="F10" s="13"/>
      <c r="G10" s="33">
        <v>0</v>
      </c>
      <c r="H10" s="13">
        <v>0</v>
      </c>
      <c r="I10" s="13">
        <f>H10-E10-G10</f>
        <v>-3895.5</v>
      </c>
      <c r="J10" s="13">
        <f t="shared" ref="J10:J73" si="0">I10/(1+$H$1)^(B10-$H$2)</f>
        <v>-3895.5</v>
      </c>
      <c r="K10" s="13">
        <f>J10</f>
        <v>-3895.5</v>
      </c>
      <c r="L10" s="13">
        <v>0</v>
      </c>
      <c r="M10" s="13">
        <f>L10+K10</f>
        <v>-3895.5</v>
      </c>
      <c r="N10" s="3">
        <f>-I10*100/('Generation plant Input'!$D$7*1000000)</f>
        <v>1.4139745916515426E-2</v>
      </c>
      <c r="O10" s="12">
        <v>0</v>
      </c>
      <c r="W10" s="27"/>
      <c r="AD10" s="27"/>
    </row>
    <row r="11" spans="1:39" x14ac:dyDescent="0.2">
      <c r="A11" s="19">
        <v>2</v>
      </c>
      <c r="B11" s="20">
        <f>B10+1</f>
        <v>2023</v>
      </c>
      <c r="C11" s="33">
        <f>'Input Capital &amp; Operating Costs'!C9</f>
        <v>6986000</v>
      </c>
      <c r="D11" s="21"/>
      <c r="E11" s="13">
        <f>'GEN 8%CCA'!L14</f>
        <v>284408.43946866982</v>
      </c>
      <c r="F11" s="13"/>
      <c r="G11" s="33">
        <f>'Generation plant Input'!J38*'Escalation Sheet'!D4/'Escalation Sheet'!$D$3+'Input Capital &amp; Operating Costs'!E9</f>
        <v>18866.955990990122</v>
      </c>
      <c r="H11" s="13">
        <v>0</v>
      </c>
      <c r="I11" s="13">
        <f t="shared" ref="I11:I74" si="1">H11-E11-G11</f>
        <v>-303275.39545965992</v>
      </c>
      <c r="J11" s="13">
        <f t="shared" si="0"/>
        <v>-286622.62116970035</v>
      </c>
      <c r="K11" s="13">
        <f t="shared" ref="K11:K74" si="2">K10+J11</f>
        <v>-290518.12116970035</v>
      </c>
      <c r="L11" s="13">
        <f>-NPV($H$1,E12:$E$30)/(1+$H$1)^(B11-$H$2)</f>
        <v>-8331660.161752372</v>
      </c>
      <c r="M11" s="13">
        <f t="shared" ref="M11:M74" si="3">L11+K11</f>
        <v>-8622178.2829220723</v>
      </c>
      <c r="N11" s="3">
        <f>-I11*100/('Generation plant Input'!$D$7*1000000)</f>
        <v>1.1008181323399635</v>
      </c>
      <c r="O11" s="12">
        <f>(PMT(H1,18.1,M29))*100/('Generation plant Input'!$D$7*1000000)*(1+H1)</f>
        <v>3.9470020766402172</v>
      </c>
      <c r="W11" s="27"/>
      <c r="AD11" s="27"/>
    </row>
    <row r="12" spans="1:39" x14ac:dyDescent="0.2">
      <c r="A12" s="19">
        <v>3</v>
      </c>
      <c r="B12" s="20">
        <f t="shared" ref="B12:B75" si="4">B11+1</f>
        <v>2024</v>
      </c>
      <c r="C12" s="33">
        <f>'Input Capital &amp; Operating Costs'!C10*'Escalation Sheet'!$D5/'Escalation Sheet'!$D$3</f>
        <v>0</v>
      </c>
      <c r="D12" s="21"/>
      <c r="E12" s="13">
        <f>'GEN 8%CCA'!L15</f>
        <v>945009.69942010858</v>
      </c>
      <c r="F12" s="13"/>
      <c r="G12" s="33">
        <f>'Input Capital &amp; Operating Costs'!D10*'Escalation Sheet'!D5/'Escalation Sheet'!$D$3</f>
        <v>230032.29714330754</v>
      </c>
      <c r="H12" s="13">
        <v>0</v>
      </c>
      <c r="I12" s="13">
        <f t="shared" si="1"/>
        <v>-1175041.9965634162</v>
      </c>
      <c r="J12" s="13">
        <f t="shared" si="0"/>
        <v>-1049542.3319943671</v>
      </c>
      <c r="K12" s="13">
        <f t="shared" si="2"/>
        <v>-1340060.4531640674</v>
      </c>
      <c r="L12" s="13">
        <f>-NPV($H$1,E13:$E$30)/(1+$H$1)^(B12-$H$2)</f>
        <v>-7487581.6636327999</v>
      </c>
      <c r="M12" s="13">
        <f t="shared" si="3"/>
        <v>-8827642.1167968679</v>
      </c>
      <c r="N12" s="3">
        <f>-I12*100/('Generation plant Input'!$D$7*1000000)</f>
        <v>4.2651252143862664</v>
      </c>
      <c r="O12" s="12">
        <f t="shared" ref="O12:O75" si="5">+O11</f>
        <v>3.9470020766402172</v>
      </c>
      <c r="P12" s="22"/>
      <c r="W12" s="27"/>
      <c r="AD12" s="27"/>
      <c r="AL12" s="23"/>
      <c r="AM12" s="12"/>
    </row>
    <row r="13" spans="1:39" x14ac:dyDescent="0.2">
      <c r="A13" s="19">
        <v>4</v>
      </c>
      <c r="B13" s="20">
        <f t="shared" si="4"/>
        <v>2025</v>
      </c>
      <c r="C13" s="33">
        <f>'Input Capital &amp; Operating Costs'!C11*'Escalation Sheet'!$D6/'Escalation Sheet'!$D$3</f>
        <v>0</v>
      </c>
      <c r="D13" s="21"/>
      <c r="E13" s="13">
        <f>'GEN 8%CCA'!L16</f>
        <v>910002.91447234189</v>
      </c>
      <c r="F13" s="13"/>
      <c r="G13" s="33">
        <f>'Input Capital &amp; Operating Costs'!D11*'Escalation Sheet'!D6/'Escalation Sheet'!$D$3</f>
        <v>233617.04426401303</v>
      </c>
      <c r="H13" s="13">
        <v>0</v>
      </c>
      <c r="I13" s="13">
        <f t="shared" si="1"/>
        <v>-1143619.958736355</v>
      </c>
      <c r="J13" s="13">
        <f t="shared" si="0"/>
        <v>-965387.30394945561</v>
      </c>
      <c r="K13" s="13">
        <f t="shared" si="2"/>
        <v>-2305447.7571135228</v>
      </c>
      <c r="L13" s="13">
        <f>-NPV($H$1,E14:$E$30)/(1+$H$1)^(B13-$H$2)</f>
        <v>-6719402.2929620491</v>
      </c>
      <c r="M13" s="13">
        <f t="shared" si="3"/>
        <v>-9024850.050075572</v>
      </c>
      <c r="N13" s="3">
        <f>-I13*100/('Generation plant Input'!$D$7*1000000)</f>
        <v>4.1510706306219785</v>
      </c>
      <c r="O13" s="12">
        <f t="shared" si="5"/>
        <v>3.9470020766402172</v>
      </c>
      <c r="P13" s="22"/>
      <c r="W13" s="27"/>
      <c r="AD13" s="27"/>
    </row>
    <row r="14" spans="1:39" x14ac:dyDescent="0.2">
      <c r="A14" s="19">
        <v>5</v>
      </c>
      <c r="B14" s="20">
        <f t="shared" si="4"/>
        <v>2026</v>
      </c>
      <c r="C14" s="33">
        <f>'Input Capital &amp; Operating Costs'!C12*'Escalation Sheet'!$D7/'Escalation Sheet'!$D$3</f>
        <v>0</v>
      </c>
      <c r="D14" s="21"/>
      <c r="E14" s="13">
        <f>'GEN 8%CCA'!L17</f>
        <v>875851.93975144927</v>
      </c>
      <c r="F14" s="13"/>
      <c r="G14" s="33">
        <f>'Input Capital &amp; Operating Costs'!D12*'Escalation Sheet'!D7/'Escalation Sheet'!$D$3</f>
        <v>237807.4363514313</v>
      </c>
      <c r="H14" s="13">
        <v>0</v>
      </c>
      <c r="I14" s="13">
        <f t="shared" si="1"/>
        <v>-1113659.3761028806</v>
      </c>
      <c r="J14" s="13">
        <f t="shared" si="0"/>
        <v>-888475.63047626405</v>
      </c>
      <c r="K14" s="13">
        <f t="shared" si="2"/>
        <v>-3193923.3875897871</v>
      </c>
      <c r="L14" s="13">
        <f>-NPV($H$1,E15:$E$30)/(1+$H$1)^(B14-$H$2)</f>
        <v>-6020649.0466169668</v>
      </c>
      <c r="M14" s="13">
        <f t="shared" si="3"/>
        <v>-9214572.434206754</v>
      </c>
      <c r="N14" s="3">
        <f>-I14*100/('Generation plant Input'!$D$7*1000000)</f>
        <v>4.0423207844024702</v>
      </c>
      <c r="O14" s="12">
        <f t="shared" si="5"/>
        <v>3.9470020766402172</v>
      </c>
      <c r="P14" s="22"/>
      <c r="W14" s="27"/>
      <c r="AD14" s="27"/>
    </row>
    <row r="15" spans="1:39" x14ac:dyDescent="0.2">
      <c r="A15" s="19">
        <v>6</v>
      </c>
      <c r="B15" s="20">
        <f t="shared" si="4"/>
        <v>2027</v>
      </c>
      <c r="C15" s="33">
        <f>'Input Capital &amp; Operating Costs'!C13*'Escalation Sheet'!$D8/'Escalation Sheet'!$D$3</f>
        <v>0</v>
      </c>
      <c r="D15" s="21"/>
      <c r="E15" s="13">
        <f>'GEN 8%CCA'!L18</f>
        <v>842488.3104392807</v>
      </c>
      <c r="F15" s="13"/>
      <c r="G15" s="33">
        <f>'Input Capital &amp; Operating Costs'!D13*'Escalation Sheet'!D8/'Escalation Sheet'!$D$3</f>
        <v>241999.76854472252</v>
      </c>
      <c r="H15" s="13">
        <v>0</v>
      </c>
      <c r="I15" s="13">
        <f t="shared" si="1"/>
        <v>-1084488.0789840033</v>
      </c>
      <c r="J15" s="13">
        <f t="shared" si="0"/>
        <v>-817694.75219948369</v>
      </c>
      <c r="K15" s="13">
        <f t="shared" si="2"/>
        <v>-4011618.1397892707</v>
      </c>
      <c r="L15" s="13">
        <f>-NPV($H$1,E16:$E$30)/(1+$H$1)^(B15-$H$2)</f>
        <v>-5385420.0537072429</v>
      </c>
      <c r="M15" s="13">
        <f t="shared" si="3"/>
        <v>-9397038.1934965141</v>
      </c>
      <c r="N15" s="3">
        <f>-I15*100/('Generation plant Input'!$D$7*1000000)</f>
        <v>3.9364358583811367</v>
      </c>
      <c r="O15" s="12">
        <f t="shared" si="5"/>
        <v>3.9470020766402172</v>
      </c>
      <c r="P15" s="22"/>
      <c r="W15" s="27"/>
      <c r="AD15" s="27"/>
    </row>
    <row r="16" spans="1:39" x14ac:dyDescent="0.2">
      <c r="A16" s="19">
        <v>7</v>
      </c>
      <c r="B16" s="20">
        <f t="shared" si="4"/>
        <v>2028</v>
      </c>
      <c r="C16" s="33">
        <f>'Input Capital &amp; Operating Costs'!C14*'Escalation Sheet'!$D9/'Escalation Sheet'!$D$3</f>
        <v>0</v>
      </c>
      <c r="D16" s="21"/>
      <c r="E16" s="13">
        <f>'GEN 8%CCA'!L19</f>
        <v>809849.03890313825</v>
      </c>
      <c r="F16" s="13"/>
      <c r="G16" s="33">
        <f>'Input Capital &amp; Operating Costs'!D14*'Escalation Sheet'!D9/'Escalation Sheet'!$D$3</f>
        <v>246264.12125359219</v>
      </c>
      <c r="H16" s="13">
        <v>0</v>
      </c>
      <c r="I16" s="13">
        <f t="shared" si="1"/>
        <v>-1056113.1601567306</v>
      </c>
      <c r="J16" s="13">
        <f t="shared" si="0"/>
        <v>-752575.65983239049</v>
      </c>
      <c r="K16" s="13">
        <f t="shared" si="2"/>
        <v>-4764193.7996216612</v>
      </c>
      <c r="L16" s="13">
        <f>-NPV($H$1,E17:$E$30)/(1+$H$1)^(B16-$H$2)</f>
        <v>-4808329.7400833601</v>
      </c>
      <c r="M16" s="13">
        <f t="shared" si="3"/>
        <v>-9572523.5397050213</v>
      </c>
      <c r="N16" s="3">
        <f>-I16*100/('Generation plant Input'!$D$7*1000000)</f>
        <v>3.8334415976650837</v>
      </c>
      <c r="O16" s="12">
        <f t="shared" si="5"/>
        <v>3.9470020766402172</v>
      </c>
      <c r="P16" s="22"/>
      <c r="W16" s="27"/>
      <c r="AD16" s="27"/>
    </row>
    <row r="17" spans="1:37" x14ac:dyDescent="0.2">
      <c r="A17" s="19">
        <v>8</v>
      </c>
      <c r="B17" s="20">
        <f t="shared" si="4"/>
        <v>2029</v>
      </c>
      <c r="C17" s="33">
        <f>'Input Capital &amp; Operating Costs'!C15*'Escalation Sheet'!$D10/'Escalation Sheet'!$D$3</f>
        <v>0</v>
      </c>
      <c r="D17" s="21"/>
      <c r="E17" s="13">
        <f>'GEN 8%CCA'!L20</f>
        <v>777876.17652094003</v>
      </c>
      <c r="F17" s="13"/>
      <c r="G17" s="33">
        <f>'Input Capital &amp; Operating Costs'!D15*'Escalation Sheet'!D10/'Escalation Sheet'!$D$3</f>
        <v>250591.1725059188</v>
      </c>
      <c r="H17" s="13">
        <v>0</v>
      </c>
      <c r="I17" s="13">
        <f t="shared" si="1"/>
        <v>-1028467.3490268588</v>
      </c>
      <c r="J17" s="13">
        <f t="shared" si="0"/>
        <v>-692633.52398016513</v>
      </c>
      <c r="K17" s="13">
        <f t="shared" si="2"/>
        <v>-5456827.3236018261</v>
      </c>
      <c r="L17" s="13">
        <f>-NPV($H$1,E18:$E$30)/(1+$H$1)^(B17-$H$2)</f>
        <v>-4284459.8108398952</v>
      </c>
      <c r="M17" s="13">
        <f t="shared" si="3"/>
        <v>-9741287.1344417222</v>
      </c>
      <c r="N17" s="3">
        <f>-I17*100/('Generation plant Input'!$D$7*1000000)</f>
        <v>3.7330938258688158</v>
      </c>
      <c r="O17" s="12">
        <f t="shared" si="5"/>
        <v>3.9470020766402172</v>
      </c>
      <c r="P17" s="22"/>
      <c r="W17" s="27"/>
      <c r="AD17" s="27"/>
    </row>
    <row r="18" spans="1:37" x14ac:dyDescent="0.2">
      <c r="A18" s="19">
        <v>9</v>
      </c>
      <c r="B18" s="20">
        <f t="shared" si="4"/>
        <v>2030</v>
      </c>
      <c r="C18" s="33">
        <f>'Input Capital &amp; Operating Costs'!C16*'Escalation Sheet'!$D11/'Escalation Sheet'!$D$3</f>
        <v>0</v>
      </c>
      <c r="D18" s="21"/>
      <c r="E18" s="13">
        <f>'GEN 8%CCA'!L21</f>
        <v>746516.41056036996</v>
      </c>
      <c r="F18" s="13"/>
      <c r="G18" s="33">
        <f>'Input Capital &amp; Operating Costs'!D16*'Escalation Sheet'!D11/'Escalation Sheet'!$D$3</f>
        <v>254939.61224250399</v>
      </c>
      <c r="H18" s="13">
        <v>0</v>
      </c>
      <c r="I18" s="13">
        <f t="shared" si="1"/>
        <v>-1001456.022802874</v>
      </c>
      <c r="J18" s="13">
        <f t="shared" si="0"/>
        <v>-637408.96535190661</v>
      </c>
      <c r="K18" s="13">
        <f t="shared" si="2"/>
        <v>-6094236.2889537327</v>
      </c>
      <c r="L18" s="13">
        <f>-NPV($H$1,E19:$E$30)/(1+$H$1)^(B18-$H$2)</f>
        <v>-3809315.3790936712</v>
      </c>
      <c r="M18" s="13">
        <f t="shared" si="3"/>
        <v>-9903551.6680474039</v>
      </c>
      <c r="N18" s="3">
        <f>-I18*100/('Generation plant Input'!$D$7*1000000)</f>
        <v>3.6350490845839345</v>
      </c>
      <c r="O18" s="12">
        <f t="shared" si="5"/>
        <v>3.9470020766402172</v>
      </c>
      <c r="P18" s="22"/>
      <c r="W18" s="27"/>
      <c r="AD18" s="27"/>
    </row>
    <row r="19" spans="1:37" x14ac:dyDescent="0.2">
      <c r="A19" s="19">
        <v>10</v>
      </c>
      <c r="B19" s="20">
        <f t="shared" si="4"/>
        <v>2031</v>
      </c>
      <c r="C19" s="33">
        <f>'Input Capital &amp; Operating Costs'!C17*'Escalation Sheet'!$D12/'Escalation Sheet'!$D$3</f>
        <v>40768.876029914849</v>
      </c>
      <c r="D19" s="21"/>
      <c r="E19" s="13">
        <f>'GEN 8%CCA'!L22</f>
        <v>718272.82494717068</v>
      </c>
      <c r="F19" s="13"/>
      <c r="G19" s="33">
        <f>'Input Capital &amp; Operating Costs'!D17*'Escalation Sheet'!D12/'Escalation Sheet'!$D$3</f>
        <v>259397.78626005261</v>
      </c>
      <c r="H19" s="13">
        <v>0</v>
      </c>
      <c r="I19" s="13">
        <f t="shared" si="1"/>
        <v>-977670.61120722326</v>
      </c>
      <c r="J19" s="13">
        <f t="shared" si="0"/>
        <v>-588101.28860565252</v>
      </c>
      <c r="K19" s="13">
        <f t="shared" si="2"/>
        <v>-6682337.5775593854</v>
      </c>
      <c r="L19" s="13">
        <f>-NPV($H$1,E20:$E$30)/(1+$H$1)^(B19-$H$2)</f>
        <v>-3377250.459600741</v>
      </c>
      <c r="M19" s="13">
        <f t="shared" si="3"/>
        <v>-10059588.037160126</v>
      </c>
      <c r="N19" s="3">
        <f>-I19*100/('Generation plant Input'!$D$7*1000000)</f>
        <v>3.5487136522948211</v>
      </c>
      <c r="O19" s="12">
        <f t="shared" si="5"/>
        <v>3.9470020766402172</v>
      </c>
      <c r="P19" s="22"/>
      <c r="W19" s="27"/>
      <c r="AD19" s="27"/>
    </row>
    <row r="20" spans="1:37" x14ac:dyDescent="0.2">
      <c r="A20" s="19">
        <v>11</v>
      </c>
      <c r="B20" s="20">
        <f t="shared" si="4"/>
        <v>2032</v>
      </c>
      <c r="C20" s="33">
        <f>'Input Capital &amp; Operating Costs'!C18*'Escalation Sheet'!$D13/'Escalation Sheet'!$D$3</f>
        <v>0</v>
      </c>
      <c r="D20" s="21"/>
      <c r="E20" s="13">
        <f>'GEN 8%CCA'!L23</f>
        <v>692730.82834821637</v>
      </c>
      <c r="F20" s="13"/>
      <c r="G20" s="33">
        <f>'Input Capital &amp; Operating Costs'!D18*'Escalation Sheet'!D13/'Escalation Sheet'!$D$3</f>
        <v>263897.60157438775</v>
      </c>
      <c r="H20" s="13">
        <v>0</v>
      </c>
      <c r="I20" s="13">
        <f t="shared" si="1"/>
        <v>-956628.42992260412</v>
      </c>
      <c r="J20" s="13">
        <f t="shared" si="0"/>
        <v>-543846.25166010123</v>
      </c>
      <c r="K20" s="13">
        <f t="shared" si="2"/>
        <v>-7226183.8292194866</v>
      </c>
      <c r="L20" s="13">
        <f>-NPV($H$1,E21:$E$30)/(1+$H$1)^(B20-$H$2)</f>
        <v>-2983430.8190564453</v>
      </c>
      <c r="M20" s="13">
        <f t="shared" si="3"/>
        <v>-10209614.648275932</v>
      </c>
      <c r="N20" s="3">
        <f>-I20*100/('Generation plant Input'!$D$7*1000000)</f>
        <v>3.4723354988116304</v>
      </c>
      <c r="O20" s="12">
        <f t="shared" si="5"/>
        <v>3.9470020766402172</v>
      </c>
      <c r="P20" s="22"/>
      <c r="W20" s="27"/>
      <c r="AD20" s="27"/>
    </row>
    <row r="21" spans="1:37" x14ac:dyDescent="0.2">
      <c r="A21" s="19">
        <v>12</v>
      </c>
      <c r="B21" s="20">
        <f t="shared" si="4"/>
        <v>2033</v>
      </c>
      <c r="C21" s="33">
        <f>'Input Capital &amp; Operating Costs'!C19*'Escalation Sheet'!$D14/'Escalation Sheet'!$D$3</f>
        <v>0</v>
      </c>
      <c r="D21" s="21"/>
      <c r="E21" s="13">
        <f>'GEN 8%CCA'!L24</f>
        <v>662628.28193311777</v>
      </c>
      <c r="F21" s="13"/>
      <c r="G21" s="33">
        <f>'Input Capital &amp; Operating Costs'!D19*'Escalation Sheet'!D14/'Escalation Sheet'!$D$3</f>
        <v>268455.38346663601</v>
      </c>
      <c r="H21" s="13">
        <v>0</v>
      </c>
      <c r="I21" s="13">
        <f t="shared" si="1"/>
        <v>-931083.66539975372</v>
      </c>
      <c r="J21" s="13">
        <f t="shared" si="0"/>
        <v>-500258.92940856807</v>
      </c>
      <c r="K21" s="13">
        <f t="shared" si="2"/>
        <v>-7726442.7586280545</v>
      </c>
      <c r="L21" s="13">
        <f>-NPV($H$1,E22:$E$30)/(1+$H$1)^(B21-$H$2)</f>
        <v>-2627409.4138550339</v>
      </c>
      <c r="M21" s="13">
        <f t="shared" si="3"/>
        <v>-10353852.172483088</v>
      </c>
      <c r="N21" s="3">
        <f>-I21*100/('Generation plant Input'!$D$7*1000000)</f>
        <v>3.3796140304891242</v>
      </c>
      <c r="O21" s="12">
        <f t="shared" si="5"/>
        <v>3.9470020766402172</v>
      </c>
      <c r="P21" s="22"/>
      <c r="W21" s="27"/>
      <c r="AD21" s="27"/>
    </row>
    <row r="22" spans="1:37" x14ac:dyDescent="0.2">
      <c r="A22" s="19">
        <v>13</v>
      </c>
      <c r="B22" s="20">
        <f t="shared" si="4"/>
        <v>2034</v>
      </c>
      <c r="C22" s="33">
        <f>'Input Capital &amp; Operating Costs'!C20*'Escalation Sheet'!$D15/'Escalation Sheet'!$D$3</f>
        <v>398531.52978018246</v>
      </c>
      <c r="D22" s="21"/>
      <c r="E22" s="13">
        <f>'GEN 8%CCA'!L25</f>
        <v>666406.67504334089</v>
      </c>
      <c r="F22" s="13"/>
      <c r="G22" s="33">
        <f>'Input Capital &amp; Operating Costs'!D20*'Escalation Sheet'!D15/'Escalation Sheet'!$D$3</f>
        <v>273076.85761510534</v>
      </c>
      <c r="H22" s="13">
        <v>0</v>
      </c>
      <c r="I22" s="13">
        <f t="shared" si="1"/>
        <v>-939483.53265844623</v>
      </c>
      <c r="J22" s="13">
        <f t="shared" si="0"/>
        <v>-477055.16199256264</v>
      </c>
      <c r="K22" s="13">
        <f t="shared" si="2"/>
        <v>-8203497.9206206175</v>
      </c>
      <c r="L22" s="13">
        <f>-NPV($H$1,E23:$E$30)/(1+$H$1)^(B22-$H$2)</f>
        <v>-2289018.4434288349</v>
      </c>
      <c r="M22" s="13">
        <f t="shared" si="3"/>
        <v>-10492516.364049453</v>
      </c>
      <c r="N22" s="3">
        <f>-I22*100/('Generation plant Input'!$D$7*1000000)</f>
        <v>3.4101035668183166</v>
      </c>
      <c r="O22" s="12">
        <f t="shared" si="5"/>
        <v>3.9470020766402172</v>
      </c>
      <c r="P22" s="22"/>
      <c r="W22" s="27"/>
      <c r="AD22" s="27"/>
    </row>
    <row r="23" spans="1:37" x14ac:dyDescent="0.2">
      <c r="A23" s="19">
        <v>14</v>
      </c>
      <c r="B23" s="20">
        <f t="shared" si="4"/>
        <v>2035</v>
      </c>
      <c r="C23" s="33">
        <f>'Input Capital &amp; Operating Costs'!C21*'Escalation Sheet'!$D16/'Escalation Sheet'!$D$3</f>
        <v>0</v>
      </c>
      <c r="D23" s="21"/>
      <c r="E23" s="13">
        <f>'GEN 8%CCA'!L26</f>
        <v>691049.89927874866</v>
      </c>
      <c r="F23" s="13"/>
      <c r="G23" s="33">
        <f>'Input Capital &amp; Operating Costs'!D21*'Escalation Sheet'!D16/'Escalation Sheet'!$D$3</f>
        <v>277762.87577359373</v>
      </c>
      <c r="H23" s="13">
        <v>0</v>
      </c>
      <c r="I23" s="13">
        <f t="shared" si="1"/>
        <v>-968812.77505234233</v>
      </c>
      <c r="J23" s="13">
        <f t="shared" si="0"/>
        <v>-464935.35227586626</v>
      </c>
      <c r="K23" s="13">
        <f t="shared" si="2"/>
        <v>-8668433.2728964835</v>
      </c>
      <c r="L23" s="13">
        <f>-NPV($H$1,E24:$E$30)/(1+$H$1)^(B23-$H$2)</f>
        <v>-1957382.0977540901</v>
      </c>
      <c r="M23" s="13">
        <f t="shared" si="3"/>
        <v>-10625815.370650575</v>
      </c>
      <c r="N23" s="3">
        <f>-I23*100/('Generation plant Input'!$D$7*1000000)</f>
        <v>3.5165617969232024</v>
      </c>
      <c r="O23" s="12">
        <f t="shared" si="5"/>
        <v>3.9470020766402172</v>
      </c>
      <c r="P23" s="22"/>
      <c r="W23" s="27"/>
      <c r="AD23" s="27"/>
    </row>
    <row r="24" spans="1:37" x14ac:dyDescent="0.2">
      <c r="A24" s="19">
        <v>15</v>
      </c>
      <c r="B24" s="20">
        <f t="shared" si="4"/>
        <v>2036</v>
      </c>
      <c r="C24" s="33">
        <f>'Input Capital &amp; Operating Costs'!C22*'Escalation Sheet'!$D17/'Escalation Sheet'!$D$3</f>
        <v>469461.91102006758</v>
      </c>
      <c r="D24" s="21"/>
      <c r="E24" s="13">
        <f>'GEN 8%CCA'!L27</f>
        <v>709920.74144526385</v>
      </c>
      <c r="F24" s="13"/>
      <c r="G24" s="33">
        <f>'Input Capital &amp; Operating Costs'!D22*'Escalation Sheet'!D17/'Escalation Sheet'!$D$3</f>
        <v>282555.78903371934</v>
      </c>
      <c r="H24" s="13">
        <v>0</v>
      </c>
      <c r="I24" s="13">
        <f t="shared" si="1"/>
        <v>-992476.53047898319</v>
      </c>
      <c r="J24" s="13">
        <f t="shared" si="0"/>
        <v>-450138.58788019145</v>
      </c>
      <c r="K24" s="13">
        <f t="shared" si="2"/>
        <v>-9118571.8607766759</v>
      </c>
      <c r="L24" s="13">
        <f>-NPV($H$1,E25:$E$30)/(1+$H$1)^(B24-$H$2)</f>
        <v>-1635396.9321131413</v>
      </c>
      <c r="M24" s="13">
        <f t="shared" si="3"/>
        <v>-10753968.792889817</v>
      </c>
      <c r="N24" s="3">
        <f>-I24*100/('Generation plant Input'!$D$7*1000000)</f>
        <v>3.6024556460217179</v>
      </c>
      <c r="O24" s="12">
        <f t="shared" si="5"/>
        <v>3.9470020766402172</v>
      </c>
      <c r="P24" s="22"/>
      <c r="W24" s="27"/>
      <c r="AD24" s="27"/>
    </row>
    <row r="25" spans="1:37" x14ac:dyDescent="0.2">
      <c r="A25" s="19">
        <v>16</v>
      </c>
      <c r="B25" s="20">
        <f t="shared" si="4"/>
        <v>2037</v>
      </c>
      <c r="C25" s="33">
        <f>'Input Capital &amp; Operating Costs'!C23*'Escalation Sheet'!$D18/'Escalation Sheet'!$D$3</f>
        <v>0</v>
      </c>
      <c r="D25" s="21"/>
      <c r="E25" s="13">
        <f>'GEN 8%CCA'!L28</f>
        <v>752046.6649604931</v>
      </c>
      <c r="F25" s="13"/>
      <c r="G25" s="33">
        <f>'Input Capital &amp; Operating Costs'!D23*'Escalation Sheet'!D18/'Escalation Sheet'!$D$3</f>
        <v>287375.34325985709</v>
      </c>
      <c r="H25" s="13">
        <v>0</v>
      </c>
      <c r="I25" s="13">
        <f t="shared" si="1"/>
        <v>-1039422.0082203501</v>
      </c>
      <c r="J25" s="13">
        <f t="shared" si="0"/>
        <v>-445544.60813705396</v>
      </c>
      <c r="K25" s="13">
        <f t="shared" si="2"/>
        <v>-9564116.4689137302</v>
      </c>
      <c r="L25" s="13">
        <f>-NPV($H$1,E26:$E$30)/(1+$H$1)^(B25-$H$2)</f>
        <v>-1313034.7596839727</v>
      </c>
      <c r="M25" s="13">
        <f t="shared" si="3"/>
        <v>-10877151.228597702</v>
      </c>
      <c r="N25" s="3">
        <f>-I25*100/('Generation plant Input'!$D$7*1000000)</f>
        <v>3.7728566541573509</v>
      </c>
      <c r="O25" s="12">
        <f t="shared" si="5"/>
        <v>3.9470020766402172</v>
      </c>
      <c r="P25" s="22"/>
      <c r="W25" s="27"/>
      <c r="AD25" s="27"/>
    </row>
    <row r="26" spans="1:37" x14ac:dyDescent="0.2">
      <c r="A26" s="19">
        <v>17</v>
      </c>
      <c r="B26" s="20">
        <f t="shared" si="4"/>
        <v>2038</v>
      </c>
      <c r="C26" s="33">
        <f>'Input Capital &amp; Operating Costs'!C24*'Escalation Sheet'!$D19/'Escalation Sheet'!$D$3</f>
        <v>0</v>
      </c>
      <c r="D26" s="21"/>
      <c r="E26" s="13">
        <f>'GEN 8%CCA'!L29</f>
        <v>714270.85858738655</v>
      </c>
      <c r="F26" s="13"/>
      <c r="G26" s="33">
        <f>'Input Capital &amp; Operating Costs'!D24*'Escalation Sheet'!D19/'Escalation Sheet'!$D$3</f>
        <v>292310.40476492199</v>
      </c>
      <c r="H26" s="13">
        <v>0</v>
      </c>
      <c r="I26" s="13">
        <f t="shared" si="1"/>
        <v>-1006581.2633523085</v>
      </c>
      <c r="J26" s="13">
        <f t="shared" si="0"/>
        <v>-407775.76573065721</v>
      </c>
      <c r="K26" s="13">
        <f t="shared" si="2"/>
        <v>-9971892.2346443869</v>
      </c>
      <c r="L26" s="13">
        <f>-NPV($H$1,E27:$E$30)/(1+$H$1)^(B26-$H$2)</f>
        <v>-1023676.7546188392</v>
      </c>
      <c r="M26" s="13">
        <f t="shared" si="3"/>
        <v>-10995568.989263225</v>
      </c>
      <c r="N26" s="3">
        <f>-I26*100/('Generation plant Input'!$D$7*1000000)</f>
        <v>3.653652498556474</v>
      </c>
      <c r="O26" s="12">
        <f t="shared" si="5"/>
        <v>3.9470020766402172</v>
      </c>
      <c r="P26" s="22"/>
      <c r="W26" s="27"/>
      <c r="AD26" s="27"/>
    </row>
    <row r="27" spans="1:37" x14ac:dyDescent="0.2">
      <c r="A27" s="19">
        <v>18</v>
      </c>
      <c r="B27" s="20">
        <f t="shared" si="4"/>
        <v>2039</v>
      </c>
      <c r="C27" s="33">
        <f>'Input Capital &amp; Operating Costs'!C25*'Escalation Sheet'!$D20/'Escalation Sheet'!$D$3</f>
        <v>0</v>
      </c>
      <c r="D27" s="21"/>
      <c r="E27" s="13">
        <f>'GEN 8%CCA'!L30</f>
        <v>676885.26478161092</v>
      </c>
      <c r="F27" s="13"/>
      <c r="G27" s="33">
        <f>'Input Capital &amp; Operating Costs'!D25*'Escalation Sheet'!D20/'Escalation Sheet'!$D$3</f>
        <v>297274.52053842659</v>
      </c>
      <c r="H27" s="13">
        <v>0</v>
      </c>
      <c r="I27" s="13">
        <f t="shared" si="1"/>
        <v>-974159.78532003751</v>
      </c>
      <c r="J27" s="13">
        <f t="shared" si="0"/>
        <v>-372971.84829241311</v>
      </c>
      <c r="K27" s="13">
        <f t="shared" si="2"/>
        <v>-10344864.082936799</v>
      </c>
      <c r="L27" s="13">
        <f>-NPV($H$1,E28:$E$30)/(1+$H$1)^(B27-$H$2)</f>
        <v>-764520.96509447787</v>
      </c>
      <c r="M27" s="13">
        <f t="shared" si="3"/>
        <v>-11109385.048031278</v>
      </c>
      <c r="N27" s="3">
        <f>-I27*100/('Generation plant Input'!$D$7*1000000)</f>
        <v>3.5359701826498635</v>
      </c>
      <c r="O27" s="12">
        <f t="shared" si="5"/>
        <v>3.9470020766402172</v>
      </c>
      <c r="P27" s="22"/>
      <c r="W27" s="27"/>
      <c r="AD27" s="27"/>
    </row>
    <row r="28" spans="1:37" x14ac:dyDescent="0.2">
      <c r="A28" s="19">
        <v>19</v>
      </c>
      <c r="B28" s="20">
        <f t="shared" si="4"/>
        <v>2040</v>
      </c>
      <c r="C28" s="33">
        <f>'Input Capital &amp; Operating Costs'!C26*'Escalation Sheet'!$D21/'Escalation Sheet'!$D$3</f>
        <v>0</v>
      </c>
      <c r="D28" s="21"/>
      <c r="E28" s="13">
        <f>'GEN 8%CCA'!L31</f>
        <v>639858.66653778055</v>
      </c>
      <c r="F28" s="13"/>
      <c r="G28" s="33">
        <f>'Input Capital &amp; Operating Costs'!D26*'Escalation Sheet'!D21/'Escalation Sheet'!$D$3</f>
        <v>302375.20083752862</v>
      </c>
      <c r="H28" s="13">
        <v>0</v>
      </c>
      <c r="I28" s="13">
        <f t="shared" si="1"/>
        <v>-942233.86737530911</v>
      </c>
      <c r="J28" s="13">
        <f t="shared" si="0"/>
        <v>-340939.9172162381</v>
      </c>
      <c r="K28" s="13">
        <f t="shared" si="2"/>
        <v>-10685804.000153037</v>
      </c>
      <c r="L28" s="13">
        <f>-NPV($H$1,E29:$E$30)/(1+$H$1)^(B28-$H$2)</f>
        <v>-532993.13707533386</v>
      </c>
      <c r="M28" s="13">
        <f t="shared" si="3"/>
        <v>-11218797.13722837</v>
      </c>
      <c r="N28" s="3">
        <f>-I28*100/('Generation plant Input'!$D$7*1000000)</f>
        <v>3.4200866329412309</v>
      </c>
      <c r="O28" s="12">
        <f t="shared" si="5"/>
        <v>3.9470020766402172</v>
      </c>
      <c r="P28" s="22"/>
      <c r="W28" s="27"/>
      <c r="AD28" s="27"/>
    </row>
    <row r="29" spans="1:37" x14ac:dyDescent="0.2">
      <c r="A29" s="19">
        <v>20</v>
      </c>
      <c r="B29" s="20">
        <f t="shared" si="4"/>
        <v>2041</v>
      </c>
      <c r="C29" s="33">
        <f>'Input Capital &amp; Operating Costs'!C27*'Escalation Sheet'!$D22/'Escalation Sheet'!$D$3</f>
        <v>0</v>
      </c>
      <c r="D29" s="21"/>
      <c r="E29" s="13">
        <f>'GEN 8%CCA'!L32</f>
        <v>1558580.3279017229</v>
      </c>
      <c r="F29" s="13"/>
      <c r="G29" s="33">
        <f>'Input Capital &amp; Operating Costs'!D27*'Escalation Sheet'!D22/'Escalation Sheet'!$D$3</f>
        <v>307553.42216744373</v>
      </c>
      <c r="H29" s="13">
        <v>0</v>
      </c>
      <c r="I29" s="13">
        <f t="shared" si="1"/>
        <v>-1866133.7500691665</v>
      </c>
      <c r="J29" s="13">
        <f t="shared" si="0"/>
        <v>-638168.25084054284</v>
      </c>
      <c r="K29" s="13">
        <f t="shared" si="2"/>
        <v>-11323972.25099358</v>
      </c>
      <c r="L29" s="13">
        <f>-NPV($H$1,E30:$E$30)/(1+$H$1)^(B29-$H$2)</f>
        <v>0</v>
      </c>
      <c r="M29" s="13">
        <f t="shared" si="3"/>
        <v>-11323972.25099358</v>
      </c>
      <c r="N29" s="3">
        <f>-I29*100/('Generation plant Input'!$D$7*1000000)</f>
        <v>6.773625227111312</v>
      </c>
      <c r="O29" s="12">
        <f t="shared" si="5"/>
        <v>3.9470020766402172</v>
      </c>
      <c r="P29" s="22"/>
      <c r="W29" s="27"/>
      <c r="AD29" s="27"/>
    </row>
    <row r="30" spans="1:37" x14ac:dyDescent="0.2">
      <c r="B30" s="20">
        <f t="shared" si="4"/>
        <v>2042</v>
      </c>
      <c r="C30" s="33">
        <f>'Input Capital &amp; Operating Costs'!C28*'Escalation Sheet'!$D23/'Escalation Sheet'!$D$3</f>
        <v>0</v>
      </c>
      <c r="E30" s="13">
        <f>'GEN 8%CCA'!L33</f>
        <v>0</v>
      </c>
      <c r="G30" s="33">
        <f>'Input Capital &amp; Operating Costs'!D28*'Escalation Sheet'!D23/'Escalation Sheet'!$D$3</f>
        <v>0</v>
      </c>
      <c r="H30" s="13">
        <v>0</v>
      </c>
      <c r="I30" s="13">
        <f t="shared" si="1"/>
        <v>0</v>
      </c>
      <c r="J30" s="13">
        <f t="shared" si="0"/>
        <v>0</v>
      </c>
      <c r="K30" s="13">
        <f t="shared" si="2"/>
        <v>-11323972.25099358</v>
      </c>
      <c r="L30" s="13">
        <f>-NPV($H$1,E$30:$E31)/(1+$H$1)^(B30-$H$2)</f>
        <v>0</v>
      </c>
      <c r="M30" s="13">
        <f t="shared" si="3"/>
        <v>-11323972.25099358</v>
      </c>
      <c r="N30" s="3">
        <f>-I30*100/('Generation plant Input'!$D$7*1000000)</f>
        <v>0</v>
      </c>
      <c r="O30" s="12">
        <f t="shared" si="5"/>
        <v>3.9470020766402172</v>
      </c>
      <c r="P30" s="22"/>
      <c r="W30" s="27"/>
      <c r="AD30" s="27"/>
    </row>
    <row r="31" spans="1:37" x14ac:dyDescent="0.2">
      <c r="B31" s="20">
        <f t="shared" si="4"/>
        <v>2043</v>
      </c>
      <c r="C31" s="33">
        <f>'Input Capital &amp; Operating Costs'!C29*'Escalation Sheet'!$D24/'Escalation Sheet'!$D$3</f>
        <v>0</v>
      </c>
      <c r="E31" s="13">
        <f>'GEN 8%CCA'!L34</f>
        <v>0</v>
      </c>
      <c r="G31" s="33">
        <f>'Input Capital &amp; Operating Costs'!D29*'Escalation Sheet'!D24/'Escalation Sheet'!$D$3</f>
        <v>0</v>
      </c>
      <c r="H31" s="13">
        <v>0</v>
      </c>
      <c r="I31" s="13">
        <f t="shared" si="1"/>
        <v>0</v>
      </c>
      <c r="J31" s="13">
        <f t="shared" si="0"/>
        <v>0</v>
      </c>
      <c r="K31" s="13">
        <f t="shared" si="2"/>
        <v>-11323972.25099358</v>
      </c>
      <c r="L31" s="13">
        <f>-NPV($H$1,E$30:$E32)/(1+$H$1)^(B31-$H$2)</f>
        <v>0</v>
      </c>
      <c r="M31" s="13">
        <f t="shared" si="3"/>
        <v>-11323972.25099358</v>
      </c>
      <c r="N31" s="3">
        <f>-I31*100/('Generation plant Input'!$D$7*1000000)</f>
        <v>0</v>
      </c>
      <c r="O31" s="12">
        <f t="shared" si="5"/>
        <v>3.9470020766402172</v>
      </c>
      <c r="P31" s="22"/>
      <c r="W31" s="27"/>
      <c r="AD31" s="27"/>
    </row>
    <row r="32" spans="1:37" x14ac:dyDescent="0.2">
      <c r="B32" s="20">
        <f t="shared" si="4"/>
        <v>2044</v>
      </c>
      <c r="C32" s="33">
        <f>'Input Capital &amp; Operating Costs'!C30*'Escalation Sheet'!$D25/'Escalation Sheet'!$D$3</f>
        <v>0</v>
      </c>
      <c r="E32" s="13">
        <f>'GEN 8%CCA'!L35</f>
        <v>0</v>
      </c>
      <c r="G32" s="33">
        <f>'Input Capital &amp; Operating Costs'!D30*'Escalation Sheet'!D25/'Escalation Sheet'!$D$3</f>
        <v>0</v>
      </c>
      <c r="H32" s="13">
        <v>0</v>
      </c>
      <c r="I32" s="13">
        <f t="shared" si="1"/>
        <v>0</v>
      </c>
      <c r="J32" s="13">
        <f t="shared" si="0"/>
        <v>0</v>
      </c>
      <c r="K32" s="13">
        <f t="shared" si="2"/>
        <v>-11323972.25099358</v>
      </c>
      <c r="L32" s="13">
        <f>-NPV($H$1,E$30:$E33)/(1+$H$1)^(B32-$H$2)</f>
        <v>0</v>
      </c>
      <c r="M32" s="13">
        <f t="shared" si="3"/>
        <v>-11323972.25099358</v>
      </c>
      <c r="N32" s="3">
        <f>-I32*100/('Generation plant Input'!$D$7*1000000)</f>
        <v>0</v>
      </c>
      <c r="O32" s="12">
        <f t="shared" si="5"/>
        <v>3.9470020766402172</v>
      </c>
      <c r="Q32" s="27"/>
      <c r="R32" s="27"/>
      <c r="S32" s="27"/>
      <c r="T32" s="27"/>
      <c r="U32" s="28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</row>
    <row r="33" spans="2:37" x14ac:dyDescent="0.2">
      <c r="B33" s="20">
        <f t="shared" si="4"/>
        <v>2045</v>
      </c>
      <c r="C33" s="33">
        <f>'Input Capital &amp; Operating Costs'!C31*'Escalation Sheet'!$D26/'Escalation Sheet'!$D$3</f>
        <v>0</v>
      </c>
      <c r="E33" s="13">
        <f>'GEN 8%CCA'!L36</f>
        <v>0</v>
      </c>
      <c r="G33" s="33">
        <f>'Input Capital &amp; Operating Costs'!D31*'Escalation Sheet'!D26/'Escalation Sheet'!$D$3</f>
        <v>0</v>
      </c>
      <c r="H33" s="13">
        <v>0</v>
      </c>
      <c r="I33" s="13">
        <f t="shared" si="1"/>
        <v>0</v>
      </c>
      <c r="J33" s="13">
        <f t="shared" si="0"/>
        <v>0</v>
      </c>
      <c r="K33" s="13">
        <f t="shared" si="2"/>
        <v>-11323972.25099358</v>
      </c>
      <c r="L33" s="13">
        <f>-NPV($H$1,E$30:$E34)/(1+$H$1)^(B33-$H$2)</f>
        <v>0</v>
      </c>
      <c r="M33" s="13">
        <f t="shared" si="3"/>
        <v>-11323972.25099358</v>
      </c>
      <c r="N33" s="3">
        <f>-I33*100/('Generation plant Input'!$D$7*1000000)</f>
        <v>0</v>
      </c>
      <c r="O33" s="12">
        <f t="shared" si="5"/>
        <v>3.9470020766402172</v>
      </c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</row>
    <row r="34" spans="2:37" x14ac:dyDescent="0.2">
      <c r="B34" s="20">
        <f t="shared" si="4"/>
        <v>2046</v>
      </c>
      <c r="C34" s="33">
        <f>'Input Capital &amp; Operating Costs'!C32*'Escalation Sheet'!$D27/'Escalation Sheet'!$D$3</f>
        <v>0</v>
      </c>
      <c r="E34" s="13">
        <f>'GEN 8%CCA'!L37</f>
        <v>0</v>
      </c>
      <c r="G34" s="33">
        <f>'Input Capital &amp; Operating Costs'!D32*'Escalation Sheet'!D27/'Escalation Sheet'!$D$3</f>
        <v>0</v>
      </c>
      <c r="H34" s="13">
        <v>0</v>
      </c>
      <c r="I34" s="13">
        <f t="shared" si="1"/>
        <v>0</v>
      </c>
      <c r="J34" s="13">
        <f t="shared" si="0"/>
        <v>0</v>
      </c>
      <c r="K34" s="13">
        <f t="shared" si="2"/>
        <v>-11323972.25099358</v>
      </c>
      <c r="L34" s="13">
        <f>-NPV($H$1,E$30:$E35)/(1+$H$1)^(B34-$H$2)</f>
        <v>0</v>
      </c>
      <c r="M34" s="13">
        <f t="shared" si="3"/>
        <v>-11323972.25099358</v>
      </c>
      <c r="N34" s="3">
        <f>-I34*100/('Generation plant Input'!$D$7*1000000)</f>
        <v>0</v>
      </c>
      <c r="O34" s="12">
        <f t="shared" si="5"/>
        <v>3.9470020766402172</v>
      </c>
    </row>
    <row r="35" spans="2:37" x14ac:dyDescent="0.2">
      <c r="B35" s="20">
        <f t="shared" si="4"/>
        <v>2047</v>
      </c>
      <c r="C35" s="33">
        <f>'Input Capital &amp; Operating Costs'!C33*'Escalation Sheet'!$D28/'Escalation Sheet'!$D$3</f>
        <v>0</v>
      </c>
      <c r="E35" s="13">
        <f>'GEN 8%CCA'!L38</f>
        <v>0</v>
      </c>
      <c r="G35" s="33">
        <f>'Input Capital &amp; Operating Costs'!D33*'Escalation Sheet'!D28/'Escalation Sheet'!$D$3</f>
        <v>0</v>
      </c>
      <c r="H35" s="13">
        <v>0</v>
      </c>
      <c r="I35" s="13">
        <f t="shared" si="1"/>
        <v>0</v>
      </c>
      <c r="J35" s="13">
        <f t="shared" si="0"/>
        <v>0</v>
      </c>
      <c r="K35" s="13">
        <f t="shared" si="2"/>
        <v>-11323972.25099358</v>
      </c>
      <c r="L35" s="13">
        <f>-NPV($H$1,E$30:$E36)/(1+$H$1)^(B35-$H$2)</f>
        <v>0</v>
      </c>
      <c r="M35" s="13">
        <f t="shared" si="3"/>
        <v>-11323972.25099358</v>
      </c>
      <c r="N35" s="3">
        <f>-I35*100/('Generation plant Input'!$D$7*1000000)</f>
        <v>0</v>
      </c>
      <c r="O35" s="12">
        <f t="shared" si="5"/>
        <v>3.9470020766402172</v>
      </c>
    </row>
    <row r="36" spans="2:37" x14ac:dyDescent="0.2">
      <c r="B36" s="20">
        <f t="shared" si="4"/>
        <v>2048</v>
      </c>
      <c r="C36" s="33">
        <f>'Input Capital &amp; Operating Costs'!C34*'Escalation Sheet'!$D29/'Escalation Sheet'!$D$3</f>
        <v>0</v>
      </c>
      <c r="E36" s="13">
        <f>'GEN 8%CCA'!L39</f>
        <v>0</v>
      </c>
      <c r="G36" s="33">
        <f>'Input Capital &amp; Operating Costs'!D34*'Escalation Sheet'!D29/'Escalation Sheet'!$D$3</f>
        <v>0</v>
      </c>
      <c r="H36" s="13">
        <v>0</v>
      </c>
      <c r="I36" s="13">
        <f t="shared" si="1"/>
        <v>0</v>
      </c>
      <c r="J36" s="13">
        <f t="shared" si="0"/>
        <v>0</v>
      </c>
      <c r="K36" s="13">
        <f t="shared" si="2"/>
        <v>-11323972.25099358</v>
      </c>
      <c r="L36" s="13">
        <f>-NPV($H$1,E$30:$E37)/(1+$H$1)^(B36-$H$2)</f>
        <v>0</v>
      </c>
      <c r="M36" s="13">
        <f t="shared" si="3"/>
        <v>-11323972.25099358</v>
      </c>
      <c r="N36" s="3">
        <f>-I36*100/('Generation plant Input'!$D$7*1000000)</f>
        <v>0</v>
      </c>
      <c r="O36" s="12">
        <f t="shared" si="5"/>
        <v>3.9470020766402172</v>
      </c>
    </row>
    <row r="37" spans="2:37" x14ac:dyDescent="0.2">
      <c r="B37" s="20">
        <f t="shared" si="4"/>
        <v>2049</v>
      </c>
      <c r="C37" s="33">
        <f>'Input Capital &amp; Operating Costs'!C35*'Escalation Sheet'!$D30/'Escalation Sheet'!$D$3</f>
        <v>0</v>
      </c>
      <c r="E37" s="13">
        <f>'GEN 8%CCA'!L40</f>
        <v>0</v>
      </c>
      <c r="G37" s="33">
        <f>'Input Capital &amp; Operating Costs'!D35*'Escalation Sheet'!D30/'Escalation Sheet'!$D$3</f>
        <v>0</v>
      </c>
      <c r="H37" s="13">
        <v>0</v>
      </c>
      <c r="I37" s="13">
        <f t="shared" si="1"/>
        <v>0</v>
      </c>
      <c r="J37" s="13">
        <f t="shared" si="0"/>
        <v>0</v>
      </c>
      <c r="K37" s="13">
        <f t="shared" si="2"/>
        <v>-11323972.25099358</v>
      </c>
      <c r="L37" s="13">
        <f>-NPV($H$1,E$30:$E38)/(1+$H$1)^(B37-$H$2)</f>
        <v>0</v>
      </c>
      <c r="M37" s="13">
        <f t="shared" si="3"/>
        <v>-11323972.25099358</v>
      </c>
      <c r="N37" s="3">
        <f>-I37*100/('Generation plant Input'!$D$7*1000000)</f>
        <v>0</v>
      </c>
      <c r="O37" s="12">
        <f t="shared" si="5"/>
        <v>3.9470020766402172</v>
      </c>
    </row>
    <row r="38" spans="2:37" x14ac:dyDescent="0.2">
      <c r="B38" s="20">
        <f t="shared" si="4"/>
        <v>2050</v>
      </c>
      <c r="C38" s="33">
        <f>'Input Capital &amp; Operating Costs'!C36*'Escalation Sheet'!$D31/'Escalation Sheet'!$D$3</f>
        <v>0</v>
      </c>
      <c r="E38" s="13">
        <f>'GEN 8%CCA'!L41</f>
        <v>0</v>
      </c>
      <c r="G38" s="33">
        <f>'Input Capital &amp; Operating Costs'!D36*'Escalation Sheet'!D31/'Escalation Sheet'!$D$3</f>
        <v>0</v>
      </c>
      <c r="H38" s="13">
        <v>0</v>
      </c>
      <c r="I38" s="13">
        <f t="shared" si="1"/>
        <v>0</v>
      </c>
      <c r="J38" s="13">
        <f t="shared" si="0"/>
        <v>0</v>
      </c>
      <c r="K38" s="13">
        <f t="shared" si="2"/>
        <v>-11323972.25099358</v>
      </c>
      <c r="L38" s="13">
        <f>-NPV($H$1,E$30:$E39)/(1+$H$1)^(B38-$H$2)</f>
        <v>0</v>
      </c>
      <c r="M38" s="13">
        <f t="shared" si="3"/>
        <v>-11323972.25099358</v>
      </c>
      <c r="N38" s="3">
        <f>-I38*100/('Generation plant Input'!$D$7*1000000)</f>
        <v>0</v>
      </c>
      <c r="O38" s="12">
        <f t="shared" si="5"/>
        <v>3.9470020766402172</v>
      </c>
    </row>
    <row r="39" spans="2:37" x14ac:dyDescent="0.2">
      <c r="B39" s="20">
        <f t="shared" si="4"/>
        <v>2051</v>
      </c>
      <c r="C39" s="33">
        <f>'Input Capital &amp; Operating Costs'!C37*'Escalation Sheet'!$D32/'Escalation Sheet'!$D$3</f>
        <v>0</v>
      </c>
      <c r="E39" s="13">
        <f>'GEN 8%CCA'!L42</f>
        <v>0</v>
      </c>
      <c r="G39" s="33">
        <f>'Input Capital &amp; Operating Costs'!D37*'Escalation Sheet'!D32/'Escalation Sheet'!$D$3</f>
        <v>0</v>
      </c>
      <c r="H39" s="13">
        <v>0</v>
      </c>
      <c r="I39" s="13">
        <f t="shared" si="1"/>
        <v>0</v>
      </c>
      <c r="J39" s="13">
        <f t="shared" si="0"/>
        <v>0</v>
      </c>
      <c r="K39" s="13">
        <f t="shared" si="2"/>
        <v>-11323972.25099358</v>
      </c>
      <c r="L39" s="13">
        <f>-NPV($H$1,E$30:$E40)/(1+$H$1)^(B39-$H$2)</f>
        <v>0</v>
      </c>
      <c r="M39" s="13">
        <f t="shared" si="3"/>
        <v>-11323972.25099358</v>
      </c>
      <c r="N39" s="3">
        <f>-I39*100/('Generation plant Input'!$D$7*1000000)</f>
        <v>0</v>
      </c>
      <c r="O39" s="12">
        <f t="shared" si="5"/>
        <v>3.9470020766402172</v>
      </c>
    </row>
    <row r="40" spans="2:37" x14ac:dyDescent="0.2">
      <c r="B40" s="20">
        <f t="shared" si="4"/>
        <v>2052</v>
      </c>
      <c r="C40" s="33">
        <f>'Input Capital &amp; Operating Costs'!C38*'Escalation Sheet'!$D33/'Escalation Sheet'!$D$3</f>
        <v>0</v>
      </c>
      <c r="E40" s="13">
        <f>'GEN 8%CCA'!L43</f>
        <v>0</v>
      </c>
      <c r="G40" s="33">
        <f>'Input Capital &amp; Operating Costs'!D38*'Escalation Sheet'!D33/'Escalation Sheet'!$D$3</f>
        <v>0</v>
      </c>
      <c r="H40" s="13">
        <v>0</v>
      </c>
      <c r="I40" s="13">
        <f t="shared" si="1"/>
        <v>0</v>
      </c>
      <c r="J40" s="13">
        <f t="shared" si="0"/>
        <v>0</v>
      </c>
      <c r="K40" s="13">
        <f t="shared" si="2"/>
        <v>-11323972.25099358</v>
      </c>
      <c r="L40" s="13">
        <f>-NPV($H$1,E$30:$E41)/(1+$H$1)^(B40-$H$2)</f>
        <v>0</v>
      </c>
      <c r="M40" s="13">
        <f t="shared" si="3"/>
        <v>-11323972.25099358</v>
      </c>
      <c r="N40" s="3">
        <f>-I40*100/('Generation plant Input'!$D$7*1000000)</f>
        <v>0</v>
      </c>
      <c r="O40" s="12">
        <f t="shared" si="5"/>
        <v>3.9470020766402172</v>
      </c>
    </row>
    <row r="41" spans="2:37" x14ac:dyDescent="0.2">
      <c r="B41" s="20">
        <f t="shared" si="4"/>
        <v>2053</v>
      </c>
      <c r="C41" s="33">
        <f>'Input Capital &amp; Operating Costs'!C39*'Escalation Sheet'!$D34/'Escalation Sheet'!$D$3</f>
        <v>0</v>
      </c>
      <c r="E41" s="13">
        <f>'GEN 8%CCA'!L44</f>
        <v>0</v>
      </c>
      <c r="G41" s="33">
        <f>'Input Capital &amp; Operating Costs'!D39*'Escalation Sheet'!D34/'Escalation Sheet'!$D$3</f>
        <v>0</v>
      </c>
      <c r="H41" s="13">
        <v>0</v>
      </c>
      <c r="I41" s="13">
        <f t="shared" si="1"/>
        <v>0</v>
      </c>
      <c r="J41" s="13">
        <f t="shared" si="0"/>
        <v>0</v>
      </c>
      <c r="K41" s="13">
        <f t="shared" si="2"/>
        <v>-11323972.25099358</v>
      </c>
      <c r="L41" s="13">
        <f>-NPV($H$1,E$30:$E42)/(1+$H$1)^(B41-$H$2)</f>
        <v>0</v>
      </c>
      <c r="M41" s="13">
        <f t="shared" si="3"/>
        <v>-11323972.25099358</v>
      </c>
      <c r="N41" s="3">
        <f>-I41*100/('Generation plant Input'!$D$7*1000000)</f>
        <v>0</v>
      </c>
      <c r="O41" s="12">
        <f t="shared" si="5"/>
        <v>3.9470020766402172</v>
      </c>
    </row>
    <row r="42" spans="2:37" x14ac:dyDescent="0.2">
      <c r="B42" s="20">
        <f t="shared" si="4"/>
        <v>2054</v>
      </c>
      <c r="C42" s="33">
        <f>'Input Capital &amp; Operating Costs'!C40*'Escalation Sheet'!$D35/'Escalation Sheet'!$D$3</f>
        <v>0</v>
      </c>
      <c r="E42" s="13">
        <f>'GEN 8%CCA'!L45</f>
        <v>0</v>
      </c>
      <c r="G42" s="33">
        <f>'Input Capital &amp; Operating Costs'!D40*'Escalation Sheet'!D35/'Escalation Sheet'!$D$3</f>
        <v>0</v>
      </c>
      <c r="H42" s="13">
        <v>0</v>
      </c>
      <c r="I42" s="13">
        <f t="shared" si="1"/>
        <v>0</v>
      </c>
      <c r="J42" s="13">
        <f t="shared" si="0"/>
        <v>0</v>
      </c>
      <c r="K42" s="13">
        <f t="shared" si="2"/>
        <v>-11323972.25099358</v>
      </c>
      <c r="L42" s="13">
        <f>-NPV($H$1,E$30:$E43)/(1+$H$1)^(B42-$H$2)</f>
        <v>0</v>
      </c>
      <c r="M42" s="13">
        <f t="shared" si="3"/>
        <v>-11323972.25099358</v>
      </c>
      <c r="N42" s="3">
        <f>-I42*100/('Generation plant Input'!$D$7*1000000)</f>
        <v>0</v>
      </c>
      <c r="O42" s="12">
        <f t="shared" si="5"/>
        <v>3.9470020766402172</v>
      </c>
    </row>
    <row r="43" spans="2:37" x14ac:dyDescent="0.2">
      <c r="B43" s="20">
        <f t="shared" si="4"/>
        <v>2055</v>
      </c>
      <c r="C43" s="33">
        <f>'Input Capital &amp; Operating Costs'!C41*'Escalation Sheet'!$D36/'Escalation Sheet'!$D$3</f>
        <v>0</v>
      </c>
      <c r="E43" s="13">
        <f>'GEN 8%CCA'!L46</f>
        <v>0</v>
      </c>
      <c r="G43" s="33">
        <f>'Input Capital &amp; Operating Costs'!D41*'Escalation Sheet'!D36/'Escalation Sheet'!$D$3</f>
        <v>0</v>
      </c>
      <c r="H43" s="13">
        <v>0</v>
      </c>
      <c r="I43" s="13">
        <f t="shared" si="1"/>
        <v>0</v>
      </c>
      <c r="J43" s="13">
        <f t="shared" si="0"/>
        <v>0</v>
      </c>
      <c r="K43" s="13">
        <f t="shared" si="2"/>
        <v>-11323972.25099358</v>
      </c>
      <c r="L43" s="13">
        <f>-NPV($H$1,E$30:$E44)/(1+$H$1)^(B43-$H$2)</f>
        <v>0</v>
      </c>
      <c r="M43" s="13">
        <f t="shared" si="3"/>
        <v>-11323972.25099358</v>
      </c>
      <c r="N43" s="3">
        <f>-I43*100/('Generation plant Input'!$D$7*1000000)</f>
        <v>0</v>
      </c>
      <c r="O43" s="12">
        <f t="shared" si="5"/>
        <v>3.9470020766402172</v>
      </c>
    </row>
    <row r="44" spans="2:37" x14ac:dyDescent="0.2">
      <c r="B44" s="20">
        <f t="shared" si="4"/>
        <v>2056</v>
      </c>
      <c r="C44" s="33">
        <f>'Input Capital &amp; Operating Costs'!C42*'Escalation Sheet'!$D37/'Escalation Sheet'!$D$3</f>
        <v>0</v>
      </c>
      <c r="E44" s="13">
        <f>'GEN 8%CCA'!L47</f>
        <v>0</v>
      </c>
      <c r="G44" s="33">
        <f>'Input Capital &amp; Operating Costs'!D42*'Escalation Sheet'!D37/'Escalation Sheet'!$D$3</f>
        <v>0</v>
      </c>
      <c r="H44" s="13">
        <v>0</v>
      </c>
      <c r="I44" s="13">
        <f t="shared" si="1"/>
        <v>0</v>
      </c>
      <c r="J44" s="13">
        <f t="shared" si="0"/>
        <v>0</v>
      </c>
      <c r="K44" s="13">
        <f t="shared" si="2"/>
        <v>-11323972.25099358</v>
      </c>
      <c r="L44" s="13">
        <f>-NPV($H$1,E$30:$E45)/(1+$H$1)^(B44-$H$2)</f>
        <v>0</v>
      </c>
      <c r="M44" s="13">
        <f t="shared" si="3"/>
        <v>-11323972.25099358</v>
      </c>
      <c r="N44" s="3">
        <f>-I44*100/('Generation plant Input'!$D$7*1000000)</f>
        <v>0</v>
      </c>
      <c r="O44" s="12">
        <f t="shared" si="5"/>
        <v>3.9470020766402172</v>
      </c>
    </row>
    <row r="45" spans="2:37" x14ac:dyDescent="0.2">
      <c r="B45" s="20">
        <f t="shared" si="4"/>
        <v>2057</v>
      </c>
      <c r="C45" s="33">
        <f>'Input Capital &amp; Operating Costs'!C43*'Escalation Sheet'!$D38/'Escalation Sheet'!$D$3</f>
        <v>0</v>
      </c>
      <c r="E45" s="13">
        <f>'GEN 8%CCA'!L48</f>
        <v>0</v>
      </c>
      <c r="G45" s="33">
        <f>'Input Capital &amp; Operating Costs'!D43*'Escalation Sheet'!D38/'Escalation Sheet'!$D$3</f>
        <v>0</v>
      </c>
      <c r="H45" s="13">
        <v>0</v>
      </c>
      <c r="I45" s="13">
        <f t="shared" si="1"/>
        <v>0</v>
      </c>
      <c r="J45" s="13">
        <f t="shared" si="0"/>
        <v>0</v>
      </c>
      <c r="K45" s="13">
        <f t="shared" si="2"/>
        <v>-11323972.25099358</v>
      </c>
      <c r="L45" s="13">
        <f>-NPV($H$1,E$30:$E46)/(1+$H$1)^(B45-$H$2)</f>
        <v>0</v>
      </c>
      <c r="M45" s="13">
        <f t="shared" si="3"/>
        <v>-11323972.25099358</v>
      </c>
      <c r="N45" s="3">
        <f>-I45*100/('Generation plant Input'!$D$7*1000000)</f>
        <v>0</v>
      </c>
      <c r="O45" s="12">
        <f t="shared" si="5"/>
        <v>3.9470020766402172</v>
      </c>
    </row>
    <row r="46" spans="2:37" x14ac:dyDescent="0.2">
      <c r="B46" s="20">
        <f t="shared" si="4"/>
        <v>2058</v>
      </c>
      <c r="C46" s="33">
        <f>'Input Capital &amp; Operating Costs'!C44*'Escalation Sheet'!$D39/'Escalation Sheet'!$D$3</f>
        <v>0</v>
      </c>
      <c r="E46" s="13">
        <f>'GEN 8%CCA'!L49</f>
        <v>0</v>
      </c>
      <c r="G46" s="33">
        <f>'Input Capital &amp; Operating Costs'!D44*'Escalation Sheet'!D39/'Escalation Sheet'!$D$3</f>
        <v>0</v>
      </c>
      <c r="H46" s="13">
        <v>0</v>
      </c>
      <c r="I46" s="13">
        <f t="shared" si="1"/>
        <v>0</v>
      </c>
      <c r="J46" s="13">
        <f t="shared" si="0"/>
        <v>0</v>
      </c>
      <c r="K46" s="13">
        <f t="shared" si="2"/>
        <v>-11323972.25099358</v>
      </c>
      <c r="L46" s="13">
        <f>-NPV($H$1,E$30:$E47)/(1+$H$1)^(B46-$H$2)</f>
        <v>0</v>
      </c>
      <c r="M46" s="13">
        <f t="shared" si="3"/>
        <v>-11323972.25099358</v>
      </c>
      <c r="N46" s="3">
        <f>-I46*100/('Generation plant Input'!$D$7*1000000)</f>
        <v>0</v>
      </c>
      <c r="O46" s="12">
        <f t="shared" si="5"/>
        <v>3.9470020766402172</v>
      </c>
    </row>
    <row r="47" spans="2:37" x14ac:dyDescent="0.2">
      <c r="B47" s="20">
        <f t="shared" si="4"/>
        <v>2059</v>
      </c>
      <c r="C47" s="33">
        <f>'Input Capital &amp; Operating Costs'!C45*'Escalation Sheet'!$D40/'Escalation Sheet'!$D$3</f>
        <v>0</v>
      </c>
      <c r="E47" s="13">
        <f>'GEN 8%CCA'!L50</f>
        <v>0</v>
      </c>
      <c r="G47" s="33">
        <f>'Input Capital &amp; Operating Costs'!D45*'Escalation Sheet'!D40/'Escalation Sheet'!$D$3</f>
        <v>0</v>
      </c>
      <c r="H47" s="13">
        <v>0</v>
      </c>
      <c r="I47" s="13">
        <f t="shared" si="1"/>
        <v>0</v>
      </c>
      <c r="J47" s="13">
        <f t="shared" si="0"/>
        <v>0</v>
      </c>
      <c r="K47" s="13">
        <f t="shared" si="2"/>
        <v>-11323972.25099358</v>
      </c>
      <c r="L47" s="13">
        <f>-NPV($H$1,E$30:$E48)/(1+$H$1)^(B47-$H$2)</f>
        <v>0</v>
      </c>
      <c r="M47" s="13">
        <f t="shared" si="3"/>
        <v>-11323972.25099358</v>
      </c>
      <c r="N47" s="3">
        <f>-I47*100/('Generation plant Input'!$D$7*1000000)</f>
        <v>0</v>
      </c>
      <c r="O47" s="12">
        <f t="shared" si="5"/>
        <v>3.9470020766402172</v>
      </c>
    </row>
    <row r="48" spans="2:37" x14ac:dyDescent="0.2">
      <c r="B48" s="20">
        <f t="shared" si="4"/>
        <v>2060</v>
      </c>
      <c r="C48" s="33">
        <f>'Input Capital &amp; Operating Costs'!C46*'Escalation Sheet'!$D41/'Escalation Sheet'!$D$3</f>
        <v>0</v>
      </c>
      <c r="E48" s="13">
        <f>'GEN 8%CCA'!L51</f>
        <v>0</v>
      </c>
      <c r="G48" s="33">
        <f>'Input Capital &amp; Operating Costs'!D46*'Escalation Sheet'!D41/'Escalation Sheet'!$D$3</f>
        <v>0</v>
      </c>
      <c r="H48" s="13">
        <v>0</v>
      </c>
      <c r="I48" s="13">
        <f t="shared" si="1"/>
        <v>0</v>
      </c>
      <c r="J48" s="13">
        <f t="shared" si="0"/>
        <v>0</v>
      </c>
      <c r="K48" s="13">
        <f t="shared" si="2"/>
        <v>-11323972.25099358</v>
      </c>
      <c r="L48" s="13">
        <f>-NPV($H$1,E$30:$E49)/(1+$H$1)^(B48-$H$2)</f>
        <v>0</v>
      </c>
      <c r="M48" s="13">
        <f t="shared" si="3"/>
        <v>-11323972.25099358</v>
      </c>
      <c r="N48" s="3">
        <f>-I48*100/('Generation plant Input'!$D$7*1000000)</f>
        <v>0</v>
      </c>
      <c r="O48" s="12">
        <f t="shared" si="5"/>
        <v>3.9470020766402172</v>
      </c>
    </row>
    <row r="49" spans="2:15" x14ac:dyDescent="0.2">
      <c r="B49" s="20">
        <f t="shared" si="4"/>
        <v>2061</v>
      </c>
      <c r="C49" s="33">
        <f>'Input Capital &amp; Operating Costs'!C47*'Escalation Sheet'!$D42/'Escalation Sheet'!$D$3</f>
        <v>0</v>
      </c>
      <c r="E49" s="13">
        <f>'GEN 8%CCA'!L52</f>
        <v>0</v>
      </c>
      <c r="G49" s="33">
        <f>'Input Capital &amp; Operating Costs'!D47*'Escalation Sheet'!D42/'Escalation Sheet'!$D$3</f>
        <v>0</v>
      </c>
      <c r="H49" s="13">
        <v>0</v>
      </c>
      <c r="I49" s="13">
        <f t="shared" si="1"/>
        <v>0</v>
      </c>
      <c r="J49" s="13">
        <f t="shared" si="0"/>
        <v>0</v>
      </c>
      <c r="K49" s="13">
        <f t="shared" si="2"/>
        <v>-11323972.25099358</v>
      </c>
      <c r="L49" s="13">
        <f>-NPV($H$1,E$30:$E50)/(1+$H$1)^(B49-$H$2)</f>
        <v>0</v>
      </c>
      <c r="M49" s="13">
        <f t="shared" si="3"/>
        <v>-11323972.25099358</v>
      </c>
      <c r="N49" s="3">
        <f>-I49*100/('Generation plant Input'!$D$7*1000000)</f>
        <v>0</v>
      </c>
      <c r="O49" s="12">
        <f t="shared" si="5"/>
        <v>3.9470020766402172</v>
      </c>
    </row>
    <row r="50" spans="2:15" x14ac:dyDescent="0.2">
      <c r="B50" s="20">
        <f t="shared" si="4"/>
        <v>2062</v>
      </c>
      <c r="C50" s="33">
        <f>'Input Capital &amp; Operating Costs'!C48*'Escalation Sheet'!$D43/'Escalation Sheet'!$D$3</f>
        <v>0</v>
      </c>
      <c r="E50" s="13">
        <f>'GEN 8%CCA'!L53</f>
        <v>0</v>
      </c>
      <c r="G50" s="33">
        <f>'Input Capital &amp; Operating Costs'!D48*'Escalation Sheet'!D43/'Escalation Sheet'!$D$3</f>
        <v>0</v>
      </c>
      <c r="H50" s="13">
        <v>0</v>
      </c>
      <c r="I50" s="13">
        <f t="shared" si="1"/>
        <v>0</v>
      </c>
      <c r="J50" s="13">
        <f t="shared" si="0"/>
        <v>0</v>
      </c>
      <c r="K50" s="13">
        <f t="shared" si="2"/>
        <v>-11323972.25099358</v>
      </c>
      <c r="L50" s="13">
        <f>-NPV($H$1,E$30:$E51)/(1+$H$1)^(B50-$H$2)</f>
        <v>0</v>
      </c>
      <c r="M50" s="13">
        <f t="shared" si="3"/>
        <v>-11323972.25099358</v>
      </c>
      <c r="N50" s="3">
        <f>-I50*100/('Generation plant Input'!$D$7*1000000)</f>
        <v>0</v>
      </c>
      <c r="O50" s="12">
        <f t="shared" si="5"/>
        <v>3.9470020766402172</v>
      </c>
    </row>
    <row r="51" spans="2:15" x14ac:dyDescent="0.2">
      <c r="B51" s="20">
        <f t="shared" si="4"/>
        <v>2063</v>
      </c>
      <c r="C51" s="33">
        <f>'Input Capital &amp; Operating Costs'!C49*'Escalation Sheet'!$D44/'Escalation Sheet'!$D$3</f>
        <v>0</v>
      </c>
      <c r="E51" s="13">
        <f>'GEN 8%CCA'!L54</f>
        <v>0</v>
      </c>
      <c r="G51" s="33">
        <f>'Input Capital &amp; Operating Costs'!D49*'Escalation Sheet'!D44/'Escalation Sheet'!$D$3</f>
        <v>0</v>
      </c>
      <c r="H51" s="13">
        <v>0</v>
      </c>
      <c r="I51" s="13">
        <f t="shared" si="1"/>
        <v>0</v>
      </c>
      <c r="J51" s="13">
        <f t="shared" si="0"/>
        <v>0</v>
      </c>
      <c r="K51" s="13">
        <f t="shared" si="2"/>
        <v>-11323972.25099358</v>
      </c>
      <c r="L51" s="13">
        <f>-NPV($H$1,E$30:$E52)/(1+$H$1)^(B51-$H$2)</f>
        <v>0</v>
      </c>
      <c r="M51" s="13">
        <f t="shared" si="3"/>
        <v>-11323972.25099358</v>
      </c>
      <c r="N51" s="3">
        <f>-I51*100/('Generation plant Input'!$D$7*1000000)</f>
        <v>0</v>
      </c>
      <c r="O51" s="12">
        <f t="shared" si="5"/>
        <v>3.9470020766402172</v>
      </c>
    </row>
    <row r="52" spans="2:15" x14ac:dyDescent="0.2">
      <c r="B52" s="20">
        <f t="shared" si="4"/>
        <v>2064</v>
      </c>
      <c r="C52" s="33">
        <f>'Input Capital &amp; Operating Costs'!C50*'Escalation Sheet'!$D45/'Escalation Sheet'!$D$3</f>
        <v>0</v>
      </c>
      <c r="E52" s="13">
        <f>'GEN 8%CCA'!L55</f>
        <v>0</v>
      </c>
      <c r="G52" s="33">
        <f>'Input Capital &amp; Operating Costs'!D50*'Escalation Sheet'!D45/'Escalation Sheet'!$D$3</f>
        <v>0</v>
      </c>
      <c r="H52" s="13">
        <v>0</v>
      </c>
      <c r="I52" s="13">
        <f t="shared" si="1"/>
        <v>0</v>
      </c>
      <c r="J52" s="13">
        <f t="shared" si="0"/>
        <v>0</v>
      </c>
      <c r="K52" s="13">
        <f t="shared" si="2"/>
        <v>-11323972.25099358</v>
      </c>
      <c r="L52" s="13">
        <f>-NPV($H$1,E$30:$E53)/(1+$H$1)^(B52-$H$2)</f>
        <v>0</v>
      </c>
      <c r="M52" s="13">
        <f t="shared" si="3"/>
        <v>-11323972.25099358</v>
      </c>
      <c r="N52" s="3">
        <f>-I52*100/('Generation plant Input'!$D$7*1000000)</f>
        <v>0</v>
      </c>
      <c r="O52" s="12">
        <f t="shared" si="5"/>
        <v>3.9470020766402172</v>
      </c>
    </row>
    <row r="53" spans="2:15" x14ac:dyDescent="0.2">
      <c r="B53" s="20">
        <f t="shared" si="4"/>
        <v>2065</v>
      </c>
      <c r="C53" s="33">
        <f>'Input Capital &amp; Operating Costs'!C51*'Escalation Sheet'!$D46/'Escalation Sheet'!$D$3</f>
        <v>0</v>
      </c>
      <c r="E53" s="13">
        <f>'GEN 8%CCA'!L56</f>
        <v>0</v>
      </c>
      <c r="G53" s="33">
        <f>'Input Capital &amp; Operating Costs'!D51*'Escalation Sheet'!D46/'Escalation Sheet'!$D$3</f>
        <v>0</v>
      </c>
      <c r="H53" s="13">
        <v>0</v>
      </c>
      <c r="I53" s="13">
        <f t="shared" si="1"/>
        <v>0</v>
      </c>
      <c r="J53" s="13">
        <f t="shared" si="0"/>
        <v>0</v>
      </c>
      <c r="K53" s="13">
        <f t="shared" si="2"/>
        <v>-11323972.25099358</v>
      </c>
      <c r="L53" s="13">
        <f>-NPV($H$1,E$30:$E54)/(1+$H$1)^(B53-$H$2)</f>
        <v>0</v>
      </c>
      <c r="M53" s="13">
        <f t="shared" si="3"/>
        <v>-11323972.25099358</v>
      </c>
      <c r="N53" s="3">
        <f>-I53*100/('Generation plant Input'!$D$7*1000000)</f>
        <v>0</v>
      </c>
      <c r="O53" s="12">
        <f t="shared" si="5"/>
        <v>3.9470020766402172</v>
      </c>
    </row>
    <row r="54" spans="2:15" x14ac:dyDescent="0.2">
      <c r="B54" s="20">
        <f t="shared" si="4"/>
        <v>2066</v>
      </c>
      <c r="C54" s="33">
        <f>'Input Capital &amp; Operating Costs'!C52*'Escalation Sheet'!$D47/'Escalation Sheet'!$D$3</f>
        <v>0</v>
      </c>
      <c r="E54" s="13">
        <f>'GEN 8%CCA'!L57</f>
        <v>0</v>
      </c>
      <c r="G54" s="33">
        <f>'Input Capital &amp; Operating Costs'!D52*'Escalation Sheet'!D47/'Escalation Sheet'!$D$3</f>
        <v>0</v>
      </c>
      <c r="H54" s="13">
        <v>0</v>
      </c>
      <c r="I54" s="13">
        <f t="shared" si="1"/>
        <v>0</v>
      </c>
      <c r="J54" s="13">
        <f t="shared" si="0"/>
        <v>0</v>
      </c>
      <c r="K54" s="13">
        <f t="shared" si="2"/>
        <v>-11323972.25099358</v>
      </c>
      <c r="L54" s="13">
        <f>-NPV($H$1,E$30:$E55)/(1+$H$1)^(B54-$H$2)</f>
        <v>0</v>
      </c>
      <c r="M54" s="13">
        <f t="shared" si="3"/>
        <v>-11323972.25099358</v>
      </c>
      <c r="N54" s="3">
        <f>-I54*100/('Generation plant Input'!$D$7*1000000)</f>
        <v>0</v>
      </c>
      <c r="O54" s="12">
        <f t="shared" si="5"/>
        <v>3.9470020766402172</v>
      </c>
    </row>
    <row r="55" spans="2:15" x14ac:dyDescent="0.2">
      <c r="B55" s="20">
        <f t="shared" si="4"/>
        <v>2067</v>
      </c>
      <c r="C55" s="33">
        <f>'Input Capital &amp; Operating Costs'!C53*'Escalation Sheet'!$D48/'Escalation Sheet'!$D$3</f>
        <v>0</v>
      </c>
      <c r="E55" s="13">
        <f>'GEN 8%CCA'!L58</f>
        <v>0</v>
      </c>
      <c r="G55" s="33">
        <f>'Input Capital &amp; Operating Costs'!D53*'Escalation Sheet'!D48/'Escalation Sheet'!$D$3</f>
        <v>0</v>
      </c>
      <c r="H55" s="13">
        <v>0</v>
      </c>
      <c r="I55" s="13">
        <f t="shared" si="1"/>
        <v>0</v>
      </c>
      <c r="J55" s="13">
        <f t="shared" si="0"/>
        <v>0</v>
      </c>
      <c r="K55" s="13">
        <f t="shared" si="2"/>
        <v>-11323972.25099358</v>
      </c>
      <c r="L55" s="13">
        <f>-NPV($H$1,E$30:$E56)/(1+$H$1)^(B55-$H$2)</f>
        <v>0</v>
      </c>
      <c r="M55" s="13">
        <f t="shared" si="3"/>
        <v>-11323972.25099358</v>
      </c>
      <c r="N55" s="3">
        <f>-I55*100/('Generation plant Input'!$D$7*1000000)</f>
        <v>0</v>
      </c>
      <c r="O55" s="12">
        <f t="shared" si="5"/>
        <v>3.9470020766402172</v>
      </c>
    </row>
    <row r="56" spans="2:15" x14ac:dyDescent="0.2">
      <c r="B56" s="20">
        <f t="shared" si="4"/>
        <v>2068</v>
      </c>
      <c r="C56" s="33">
        <f>'Input Capital &amp; Operating Costs'!C54*'Escalation Sheet'!$D49/'Escalation Sheet'!$D$3</f>
        <v>0</v>
      </c>
      <c r="E56" s="13">
        <f>'GEN 8%CCA'!L59</f>
        <v>0</v>
      </c>
      <c r="G56" s="33">
        <f>'Input Capital &amp; Operating Costs'!D54*'Escalation Sheet'!D49/'Escalation Sheet'!$D$3</f>
        <v>0</v>
      </c>
      <c r="H56" s="13">
        <v>0</v>
      </c>
      <c r="I56" s="13">
        <f t="shared" si="1"/>
        <v>0</v>
      </c>
      <c r="J56" s="13">
        <f t="shared" si="0"/>
        <v>0</v>
      </c>
      <c r="K56" s="13">
        <f t="shared" si="2"/>
        <v>-11323972.25099358</v>
      </c>
      <c r="L56" s="13">
        <f>-NPV($H$1,E$30:$E57)/(1+$H$1)^(B56-$H$2)</f>
        <v>0</v>
      </c>
      <c r="M56" s="13">
        <f t="shared" si="3"/>
        <v>-11323972.25099358</v>
      </c>
      <c r="N56" s="3">
        <f>-I56*100/('Generation plant Input'!$D$7*1000000)</f>
        <v>0</v>
      </c>
      <c r="O56" s="12">
        <f t="shared" si="5"/>
        <v>3.9470020766402172</v>
      </c>
    </row>
    <row r="57" spans="2:15" x14ac:dyDescent="0.2">
      <c r="B57" s="20">
        <f t="shared" si="4"/>
        <v>2069</v>
      </c>
      <c r="C57" s="33">
        <f>'Input Capital &amp; Operating Costs'!C55*'Escalation Sheet'!$D50/'Escalation Sheet'!$D$3</f>
        <v>0</v>
      </c>
      <c r="E57" s="13">
        <f>'GEN 8%CCA'!L60</f>
        <v>0</v>
      </c>
      <c r="G57" s="33">
        <f>'Input Capital &amp; Operating Costs'!D55*'Escalation Sheet'!D50/'Escalation Sheet'!$D$3</f>
        <v>0</v>
      </c>
      <c r="H57" s="13">
        <v>0</v>
      </c>
      <c r="I57" s="13">
        <f t="shared" si="1"/>
        <v>0</v>
      </c>
      <c r="J57" s="13">
        <f t="shared" si="0"/>
        <v>0</v>
      </c>
      <c r="K57" s="13">
        <f t="shared" si="2"/>
        <v>-11323972.25099358</v>
      </c>
      <c r="L57" s="13">
        <f>-NPV($H$1,E$30:$E58)/(1+$H$1)^(B57-$H$2)</f>
        <v>0</v>
      </c>
      <c r="M57" s="13">
        <f t="shared" si="3"/>
        <v>-11323972.25099358</v>
      </c>
      <c r="N57" s="3">
        <f>-I57*100/('Generation plant Input'!$D$7*1000000)</f>
        <v>0</v>
      </c>
      <c r="O57" s="12">
        <f t="shared" si="5"/>
        <v>3.9470020766402172</v>
      </c>
    </row>
    <row r="58" spans="2:15" x14ac:dyDescent="0.2">
      <c r="B58" s="20">
        <f t="shared" si="4"/>
        <v>2070</v>
      </c>
      <c r="C58" s="33">
        <f>'Input Capital &amp; Operating Costs'!C56*'Escalation Sheet'!$D51/'Escalation Sheet'!$D$3</f>
        <v>0</v>
      </c>
      <c r="E58" s="13">
        <f>'GEN 8%CCA'!L61</f>
        <v>0</v>
      </c>
      <c r="G58" s="33">
        <f>'Input Capital &amp; Operating Costs'!D56*'Escalation Sheet'!D51/'Escalation Sheet'!$D$3</f>
        <v>0</v>
      </c>
      <c r="H58" s="13">
        <v>0</v>
      </c>
      <c r="I58" s="13">
        <f t="shared" si="1"/>
        <v>0</v>
      </c>
      <c r="J58" s="13">
        <f t="shared" si="0"/>
        <v>0</v>
      </c>
      <c r="K58" s="13">
        <f t="shared" si="2"/>
        <v>-11323972.25099358</v>
      </c>
      <c r="L58" s="13">
        <f>-NPV($H$1,E$30:$E59)/(1+$H$1)^(B58-$H$2)</f>
        <v>0</v>
      </c>
      <c r="M58" s="13">
        <f t="shared" si="3"/>
        <v>-11323972.25099358</v>
      </c>
      <c r="N58" s="3">
        <f>-I58*100/('Generation plant Input'!$D$7*1000000)</f>
        <v>0</v>
      </c>
      <c r="O58" s="12">
        <f t="shared" si="5"/>
        <v>3.9470020766402172</v>
      </c>
    </row>
    <row r="59" spans="2:15" x14ac:dyDescent="0.2">
      <c r="B59" s="20">
        <f t="shared" si="4"/>
        <v>2071</v>
      </c>
      <c r="C59" s="33">
        <f>'Input Capital &amp; Operating Costs'!C57*'Escalation Sheet'!$D52/'Escalation Sheet'!$D$3</f>
        <v>0</v>
      </c>
      <c r="E59" s="13">
        <f>'GEN 8%CCA'!L62</f>
        <v>0</v>
      </c>
      <c r="G59" s="33">
        <f>'Input Capital &amp; Operating Costs'!D57*'Escalation Sheet'!D52/'Escalation Sheet'!$D$3</f>
        <v>0</v>
      </c>
      <c r="H59" s="13">
        <v>0</v>
      </c>
      <c r="I59" s="13">
        <f t="shared" si="1"/>
        <v>0</v>
      </c>
      <c r="J59" s="13">
        <f t="shared" si="0"/>
        <v>0</v>
      </c>
      <c r="K59" s="13">
        <f t="shared" si="2"/>
        <v>-11323972.25099358</v>
      </c>
      <c r="L59" s="13">
        <f>-NPV($H$1,E$30:$E60)/(1+$H$1)^(B59-$H$2)</f>
        <v>0</v>
      </c>
      <c r="M59" s="13">
        <f t="shared" si="3"/>
        <v>-11323972.25099358</v>
      </c>
      <c r="N59" s="3">
        <f>-I59*100/('Generation plant Input'!$D$7*1000000)</f>
        <v>0</v>
      </c>
      <c r="O59" s="12">
        <f t="shared" si="5"/>
        <v>3.9470020766402172</v>
      </c>
    </row>
    <row r="60" spans="2:15" x14ac:dyDescent="0.2">
      <c r="B60" s="20">
        <f t="shared" si="4"/>
        <v>2072</v>
      </c>
      <c r="C60" s="33">
        <f>'Input Capital &amp; Operating Costs'!C58*'Escalation Sheet'!$D53/'Escalation Sheet'!$D$3</f>
        <v>0</v>
      </c>
      <c r="E60" s="13">
        <f>'GEN 8%CCA'!L63</f>
        <v>0</v>
      </c>
      <c r="G60" s="33">
        <f>'Input Capital &amp; Operating Costs'!D58*'Escalation Sheet'!D53/'Escalation Sheet'!$D$3</f>
        <v>0</v>
      </c>
      <c r="H60" s="13">
        <v>0</v>
      </c>
      <c r="I60" s="13">
        <f t="shared" si="1"/>
        <v>0</v>
      </c>
      <c r="J60" s="13">
        <f t="shared" si="0"/>
        <v>0</v>
      </c>
      <c r="K60" s="13">
        <f t="shared" si="2"/>
        <v>-11323972.25099358</v>
      </c>
      <c r="L60" s="13">
        <f>-NPV($H$1,E$30:$E61)/(1+$H$1)^(B60-$H$2)</f>
        <v>0</v>
      </c>
      <c r="M60" s="13">
        <f t="shared" si="3"/>
        <v>-11323972.25099358</v>
      </c>
      <c r="N60" s="3">
        <f>-I60*100/('Generation plant Input'!$D$7*1000000)</f>
        <v>0</v>
      </c>
      <c r="O60" s="12">
        <f t="shared" si="5"/>
        <v>3.9470020766402172</v>
      </c>
    </row>
    <row r="61" spans="2:15" x14ac:dyDescent="0.2">
      <c r="B61" s="20">
        <f t="shared" si="4"/>
        <v>2073</v>
      </c>
      <c r="C61" s="33">
        <f>'Input Capital &amp; Operating Costs'!C59*'Escalation Sheet'!$D54/'Escalation Sheet'!$D$3</f>
        <v>0</v>
      </c>
      <c r="E61" s="13">
        <f>'GEN 8%CCA'!L64</f>
        <v>0</v>
      </c>
      <c r="G61" s="33">
        <f>'Input Capital &amp; Operating Costs'!D59*'Escalation Sheet'!D54/'Escalation Sheet'!$D$3</f>
        <v>0</v>
      </c>
      <c r="H61" s="13">
        <v>0</v>
      </c>
      <c r="I61" s="13">
        <f t="shared" si="1"/>
        <v>0</v>
      </c>
      <c r="J61" s="13">
        <f t="shared" si="0"/>
        <v>0</v>
      </c>
      <c r="K61" s="13">
        <f t="shared" si="2"/>
        <v>-11323972.25099358</v>
      </c>
      <c r="L61" s="13">
        <f>-NPV($H$1,E$30:$E62)/(1+$H$1)^(B61-$H$2)</f>
        <v>0</v>
      </c>
      <c r="M61" s="13">
        <f t="shared" si="3"/>
        <v>-11323972.25099358</v>
      </c>
      <c r="N61" s="3">
        <f>-I61*100/('Generation plant Input'!$D$7*1000000)</f>
        <v>0</v>
      </c>
      <c r="O61" s="12">
        <f t="shared" si="5"/>
        <v>3.9470020766402172</v>
      </c>
    </row>
    <row r="62" spans="2:15" x14ac:dyDescent="0.2">
      <c r="B62" s="20">
        <f t="shared" si="4"/>
        <v>2074</v>
      </c>
      <c r="C62" s="33">
        <f>'Input Capital &amp; Operating Costs'!C60*'Escalation Sheet'!$D55/'Escalation Sheet'!$D$3</f>
        <v>0</v>
      </c>
      <c r="E62" s="13">
        <f>'GEN 8%CCA'!L65</f>
        <v>0</v>
      </c>
      <c r="G62" s="33">
        <f>'Input Capital &amp; Operating Costs'!D60*'Escalation Sheet'!D55/'Escalation Sheet'!$D$3</f>
        <v>0</v>
      </c>
      <c r="H62" s="13">
        <v>0</v>
      </c>
      <c r="I62" s="13">
        <f t="shared" si="1"/>
        <v>0</v>
      </c>
      <c r="J62" s="13">
        <f t="shared" si="0"/>
        <v>0</v>
      </c>
      <c r="K62" s="13">
        <f t="shared" si="2"/>
        <v>-11323972.25099358</v>
      </c>
      <c r="L62" s="13">
        <f>-NPV($H$1,E$30:$E63)/(1+$H$1)^(B62-$H$2)</f>
        <v>0</v>
      </c>
      <c r="M62" s="13">
        <f t="shared" si="3"/>
        <v>-11323972.25099358</v>
      </c>
      <c r="N62" s="3">
        <f>-I62*100/('Generation plant Input'!$D$7*1000000)</f>
        <v>0</v>
      </c>
      <c r="O62" s="12">
        <f t="shared" si="5"/>
        <v>3.9470020766402172</v>
      </c>
    </row>
    <row r="63" spans="2:15" x14ac:dyDescent="0.2">
      <c r="B63" s="20">
        <f t="shared" si="4"/>
        <v>2075</v>
      </c>
      <c r="C63" s="33">
        <f>'Input Capital &amp; Operating Costs'!C61*'Escalation Sheet'!$D56/'Escalation Sheet'!$D$3</f>
        <v>0</v>
      </c>
      <c r="E63" s="13">
        <f>'GEN 8%CCA'!L66</f>
        <v>0</v>
      </c>
      <c r="G63" s="33">
        <f>'Input Capital &amp; Operating Costs'!D61*'Escalation Sheet'!D56/'Escalation Sheet'!$D$3</f>
        <v>0</v>
      </c>
      <c r="H63" s="13">
        <v>0</v>
      </c>
      <c r="I63" s="13">
        <f t="shared" si="1"/>
        <v>0</v>
      </c>
      <c r="J63" s="13">
        <f t="shared" si="0"/>
        <v>0</v>
      </c>
      <c r="K63" s="13">
        <f t="shared" si="2"/>
        <v>-11323972.25099358</v>
      </c>
      <c r="L63" s="13">
        <f>-NPV($H$1,E$30:$E64)/(1+$H$1)^(B63-$H$2)</f>
        <v>0</v>
      </c>
      <c r="M63" s="13">
        <f t="shared" si="3"/>
        <v>-11323972.25099358</v>
      </c>
      <c r="N63" s="3">
        <f>-I63*100/('Generation plant Input'!$D$7*1000000)</f>
        <v>0</v>
      </c>
      <c r="O63" s="12">
        <f t="shared" si="5"/>
        <v>3.9470020766402172</v>
      </c>
    </row>
    <row r="64" spans="2:15" x14ac:dyDescent="0.2">
      <c r="B64" s="20">
        <f t="shared" si="4"/>
        <v>2076</v>
      </c>
      <c r="C64" s="33">
        <f>'Input Capital &amp; Operating Costs'!C62*'Escalation Sheet'!$D57/'Escalation Sheet'!$D$3</f>
        <v>0</v>
      </c>
      <c r="E64" s="13">
        <f>'GEN 8%CCA'!L67</f>
        <v>0</v>
      </c>
      <c r="G64" s="33">
        <f>'Input Capital &amp; Operating Costs'!D62*'Escalation Sheet'!D57/'Escalation Sheet'!$D$3</f>
        <v>0</v>
      </c>
      <c r="H64" s="13">
        <v>0</v>
      </c>
      <c r="I64" s="13">
        <f t="shared" si="1"/>
        <v>0</v>
      </c>
      <c r="J64" s="13">
        <f t="shared" si="0"/>
        <v>0</v>
      </c>
      <c r="K64" s="13">
        <f t="shared" si="2"/>
        <v>-11323972.25099358</v>
      </c>
      <c r="L64" s="13">
        <f>-NPV($H$1,E$30:$E65)/(1+$H$1)^(B64-$H$2)</f>
        <v>0</v>
      </c>
      <c r="M64" s="13">
        <f t="shared" si="3"/>
        <v>-11323972.25099358</v>
      </c>
      <c r="N64" s="3">
        <f>-I64*100/('Generation plant Input'!$D$7*1000000)</f>
        <v>0</v>
      </c>
      <c r="O64" s="12">
        <f t="shared" si="5"/>
        <v>3.9470020766402172</v>
      </c>
    </row>
    <row r="65" spans="2:15" x14ac:dyDescent="0.2">
      <c r="B65" s="20">
        <f t="shared" si="4"/>
        <v>2077</v>
      </c>
      <c r="C65" s="33">
        <f>'Input Capital &amp; Operating Costs'!C63*'Escalation Sheet'!$D58/'Escalation Sheet'!$D$3</f>
        <v>0</v>
      </c>
      <c r="E65" s="13">
        <f>'GEN 8%CCA'!L68</f>
        <v>0</v>
      </c>
      <c r="G65" s="33">
        <f>'Input Capital &amp; Operating Costs'!D63*'Escalation Sheet'!D58/'Escalation Sheet'!$D$3</f>
        <v>0</v>
      </c>
      <c r="H65" s="13">
        <v>0</v>
      </c>
      <c r="I65" s="13">
        <f t="shared" si="1"/>
        <v>0</v>
      </c>
      <c r="J65" s="13">
        <f t="shared" si="0"/>
        <v>0</v>
      </c>
      <c r="K65" s="13">
        <f t="shared" si="2"/>
        <v>-11323972.25099358</v>
      </c>
      <c r="L65" s="13">
        <f>-NPV($H$1,E$30:$E66)/(1+$H$1)^(B65-$H$2)</f>
        <v>0</v>
      </c>
      <c r="M65" s="13">
        <f t="shared" si="3"/>
        <v>-11323972.25099358</v>
      </c>
      <c r="N65" s="3">
        <f>-I65*100/('Generation plant Input'!$D$7*1000000)</f>
        <v>0</v>
      </c>
      <c r="O65" s="12">
        <f t="shared" si="5"/>
        <v>3.9470020766402172</v>
      </c>
    </row>
    <row r="66" spans="2:15" x14ac:dyDescent="0.2">
      <c r="B66" s="20">
        <f t="shared" si="4"/>
        <v>2078</v>
      </c>
      <c r="C66" s="33">
        <f>'Input Capital &amp; Operating Costs'!C64*'Escalation Sheet'!$D59/'Escalation Sheet'!$D$3</f>
        <v>0</v>
      </c>
      <c r="E66" s="13">
        <f>'GEN 8%CCA'!L69</f>
        <v>0</v>
      </c>
      <c r="G66" s="33">
        <f>'Input Capital &amp; Operating Costs'!D64*'Escalation Sheet'!D59/'Escalation Sheet'!$D$3</f>
        <v>0</v>
      </c>
      <c r="H66" s="13">
        <v>0</v>
      </c>
      <c r="I66" s="13">
        <f t="shared" si="1"/>
        <v>0</v>
      </c>
      <c r="J66" s="13">
        <f t="shared" si="0"/>
        <v>0</v>
      </c>
      <c r="K66" s="13">
        <f t="shared" si="2"/>
        <v>-11323972.25099358</v>
      </c>
      <c r="L66" s="13">
        <f>-NPV($H$1,E$30:$E67)/(1+$H$1)^(B66-$H$2)</f>
        <v>0</v>
      </c>
      <c r="M66" s="13">
        <f t="shared" si="3"/>
        <v>-11323972.25099358</v>
      </c>
      <c r="N66" s="3">
        <f>-I66*100/('Generation plant Input'!$D$7*1000000)</f>
        <v>0</v>
      </c>
      <c r="O66" s="12">
        <f t="shared" si="5"/>
        <v>3.9470020766402172</v>
      </c>
    </row>
    <row r="67" spans="2:15" x14ac:dyDescent="0.2">
      <c r="B67" s="20">
        <f t="shared" si="4"/>
        <v>2079</v>
      </c>
      <c r="C67" s="33">
        <f>'Input Capital &amp; Operating Costs'!C65*'Escalation Sheet'!$D60/'Escalation Sheet'!$D$3</f>
        <v>0</v>
      </c>
      <c r="E67" s="13">
        <f>'GEN 8%CCA'!L70</f>
        <v>0</v>
      </c>
      <c r="G67" s="33">
        <f>'Input Capital &amp; Operating Costs'!D65*'Escalation Sheet'!D60/'Escalation Sheet'!$D$3</f>
        <v>0</v>
      </c>
      <c r="H67" s="13">
        <v>0</v>
      </c>
      <c r="I67" s="13">
        <f t="shared" si="1"/>
        <v>0</v>
      </c>
      <c r="J67" s="13">
        <f t="shared" si="0"/>
        <v>0</v>
      </c>
      <c r="K67" s="13">
        <f t="shared" si="2"/>
        <v>-11323972.25099358</v>
      </c>
      <c r="L67" s="13">
        <f>-NPV($H$1,E$30:$E68)/(1+$H$1)^(B67-$H$2)</f>
        <v>0</v>
      </c>
      <c r="M67" s="13">
        <f t="shared" si="3"/>
        <v>-11323972.25099358</v>
      </c>
      <c r="N67" s="3">
        <f>-I67*100/('Generation plant Input'!$D$7*1000000)</f>
        <v>0</v>
      </c>
      <c r="O67" s="12">
        <f t="shared" si="5"/>
        <v>3.9470020766402172</v>
      </c>
    </row>
    <row r="68" spans="2:15" x14ac:dyDescent="0.2">
      <c r="B68" s="20">
        <f t="shared" si="4"/>
        <v>2080</v>
      </c>
      <c r="C68" s="33">
        <f>'Input Capital &amp; Operating Costs'!C66*'Escalation Sheet'!$D61/'Escalation Sheet'!$D$3</f>
        <v>0</v>
      </c>
      <c r="E68" s="13">
        <f>'GEN 8%CCA'!L71</f>
        <v>0</v>
      </c>
      <c r="G68" s="33">
        <f>'Input Capital &amp; Operating Costs'!D66*'Escalation Sheet'!D61/'Escalation Sheet'!$D$3</f>
        <v>0</v>
      </c>
      <c r="H68" s="13">
        <v>0</v>
      </c>
      <c r="I68" s="13">
        <f t="shared" si="1"/>
        <v>0</v>
      </c>
      <c r="J68" s="13">
        <f t="shared" si="0"/>
        <v>0</v>
      </c>
      <c r="K68" s="13">
        <f t="shared" si="2"/>
        <v>-11323972.25099358</v>
      </c>
      <c r="L68" s="13">
        <f>-NPV($H$1,E$30:$E69)/(1+$H$1)^(B68-$H$2)</f>
        <v>0</v>
      </c>
      <c r="M68" s="13">
        <f t="shared" si="3"/>
        <v>-11323972.25099358</v>
      </c>
      <c r="N68" s="3">
        <f>-I68*100/('Generation plant Input'!$D$7*1000000)</f>
        <v>0</v>
      </c>
      <c r="O68" s="12">
        <f t="shared" si="5"/>
        <v>3.9470020766402172</v>
      </c>
    </row>
    <row r="69" spans="2:15" x14ac:dyDescent="0.2">
      <c r="B69" s="20">
        <f t="shared" si="4"/>
        <v>2081</v>
      </c>
      <c r="C69" s="33">
        <f>'Input Capital &amp; Operating Costs'!C67*'Escalation Sheet'!$D62/'Escalation Sheet'!$D$3</f>
        <v>0</v>
      </c>
      <c r="E69" s="13">
        <f>'GEN 8%CCA'!L72</f>
        <v>0</v>
      </c>
      <c r="G69" s="33">
        <f>'Input Capital &amp; Operating Costs'!D67*'Escalation Sheet'!D62/'Escalation Sheet'!$D$3</f>
        <v>0</v>
      </c>
      <c r="H69" s="13">
        <v>0</v>
      </c>
      <c r="I69" s="13">
        <f t="shared" si="1"/>
        <v>0</v>
      </c>
      <c r="J69" s="13">
        <f t="shared" si="0"/>
        <v>0</v>
      </c>
      <c r="K69" s="13">
        <f t="shared" si="2"/>
        <v>-11323972.25099358</v>
      </c>
      <c r="L69" s="13">
        <f>-NPV($H$1,E$30:$E70)/(1+$H$1)^(B69-$H$2)</f>
        <v>0</v>
      </c>
      <c r="M69" s="13">
        <f t="shared" si="3"/>
        <v>-11323972.25099358</v>
      </c>
      <c r="N69" s="3">
        <f>-I69*100/('Generation plant Input'!$D$7*1000000)</f>
        <v>0</v>
      </c>
      <c r="O69" s="12">
        <f t="shared" si="5"/>
        <v>3.9470020766402172</v>
      </c>
    </row>
    <row r="70" spans="2:15" x14ac:dyDescent="0.2">
      <c r="B70" s="20">
        <f t="shared" si="4"/>
        <v>2082</v>
      </c>
      <c r="C70" s="33">
        <f>'Input Capital &amp; Operating Costs'!C68*'Escalation Sheet'!$D63/'Escalation Sheet'!$D$3</f>
        <v>0</v>
      </c>
      <c r="E70" s="13">
        <f>'GEN 8%CCA'!L73</f>
        <v>0</v>
      </c>
      <c r="G70" s="33">
        <f>'Input Capital &amp; Operating Costs'!D68*'Escalation Sheet'!D63/'Escalation Sheet'!$D$3</f>
        <v>0</v>
      </c>
      <c r="H70" s="13">
        <v>0</v>
      </c>
      <c r="I70" s="13">
        <f t="shared" si="1"/>
        <v>0</v>
      </c>
      <c r="J70" s="13">
        <f t="shared" si="0"/>
        <v>0</v>
      </c>
      <c r="K70" s="13">
        <f t="shared" si="2"/>
        <v>-11323972.25099358</v>
      </c>
      <c r="L70" s="13">
        <f>-NPV($H$1,E$30:$E71)/(1+$H$1)^(B70-$H$2)</f>
        <v>0</v>
      </c>
      <c r="M70" s="13">
        <f t="shared" si="3"/>
        <v>-11323972.25099358</v>
      </c>
      <c r="N70" s="3">
        <f>-I70*100/('Generation plant Input'!$D$7*1000000)</f>
        <v>0</v>
      </c>
      <c r="O70" s="12">
        <f t="shared" si="5"/>
        <v>3.9470020766402172</v>
      </c>
    </row>
    <row r="71" spans="2:15" x14ac:dyDescent="0.2">
      <c r="B71" s="20">
        <f t="shared" si="4"/>
        <v>2083</v>
      </c>
      <c r="C71" s="33">
        <f>'Input Capital &amp; Operating Costs'!C69*'Escalation Sheet'!$D64/'Escalation Sheet'!$D$3</f>
        <v>0</v>
      </c>
      <c r="E71" s="13">
        <f>'GEN 8%CCA'!L74</f>
        <v>0</v>
      </c>
      <c r="G71" s="33">
        <f>'Input Capital &amp; Operating Costs'!D69*'Escalation Sheet'!D64/'Escalation Sheet'!$D$3</f>
        <v>0</v>
      </c>
      <c r="H71" s="13">
        <v>0</v>
      </c>
      <c r="I71" s="13">
        <f t="shared" si="1"/>
        <v>0</v>
      </c>
      <c r="J71" s="13">
        <f t="shared" si="0"/>
        <v>0</v>
      </c>
      <c r="K71" s="13">
        <f t="shared" si="2"/>
        <v>-11323972.25099358</v>
      </c>
      <c r="L71" s="13">
        <f>-NPV($H$1,E$30:$E72)/(1+$H$1)^(B71-$H$2)</f>
        <v>0</v>
      </c>
      <c r="M71" s="13">
        <f t="shared" si="3"/>
        <v>-11323972.25099358</v>
      </c>
      <c r="N71" s="3">
        <f>-I71*100/('Generation plant Input'!$D$7*1000000)</f>
        <v>0</v>
      </c>
      <c r="O71" s="12">
        <f t="shared" si="5"/>
        <v>3.9470020766402172</v>
      </c>
    </row>
    <row r="72" spans="2:15" x14ac:dyDescent="0.2">
      <c r="B72" s="20">
        <f t="shared" si="4"/>
        <v>2084</v>
      </c>
      <c r="C72" s="33">
        <f>'Input Capital &amp; Operating Costs'!C70*'Escalation Sheet'!$D65/'Escalation Sheet'!$D$3</f>
        <v>0</v>
      </c>
      <c r="E72" s="13">
        <f>'GEN 8%CCA'!L75</f>
        <v>0</v>
      </c>
      <c r="G72" s="33">
        <f>'Input Capital &amp; Operating Costs'!D70*'Escalation Sheet'!D65/'Escalation Sheet'!$D$3</f>
        <v>0</v>
      </c>
      <c r="H72" s="13">
        <v>0</v>
      </c>
      <c r="I72" s="13">
        <f t="shared" si="1"/>
        <v>0</v>
      </c>
      <c r="J72" s="13">
        <f t="shared" si="0"/>
        <v>0</v>
      </c>
      <c r="K72" s="13">
        <f t="shared" si="2"/>
        <v>-11323972.25099358</v>
      </c>
      <c r="L72" s="13">
        <f>-NPV($H$1,E$30:$E73)/(1+$H$1)^(B72-$H$2)</f>
        <v>0</v>
      </c>
      <c r="M72" s="13">
        <f t="shared" si="3"/>
        <v>-11323972.25099358</v>
      </c>
      <c r="N72" s="3">
        <f>-I72*100/('Generation plant Input'!$D$7*1000000)</f>
        <v>0</v>
      </c>
      <c r="O72" s="12">
        <f t="shared" si="5"/>
        <v>3.9470020766402172</v>
      </c>
    </row>
    <row r="73" spans="2:15" x14ac:dyDescent="0.2">
      <c r="B73" s="20">
        <f t="shared" si="4"/>
        <v>2085</v>
      </c>
      <c r="C73" s="33">
        <f>'Input Capital &amp; Operating Costs'!C71*'Escalation Sheet'!$D66/'Escalation Sheet'!$D$3</f>
        <v>0</v>
      </c>
      <c r="E73" s="13">
        <f>'GEN 8%CCA'!L76</f>
        <v>0</v>
      </c>
      <c r="G73" s="33">
        <f>'Input Capital &amp; Operating Costs'!D71*'Escalation Sheet'!D66/'Escalation Sheet'!$D$3</f>
        <v>0</v>
      </c>
      <c r="H73" s="13">
        <v>0</v>
      </c>
      <c r="I73" s="13">
        <f t="shared" si="1"/>
        <v>0</v>
      </c>
      <c r="J73" s="13">
        <f t="shared" si="0"/>
        <v>0</v>
      </c>
      <c r="K73" s="13">
        <f t="shared" si="2"/>
        <v>-11323972.25099358</v>
      </c>
      <c r="L73" s="13">
        <f>-NPV($H$1,E$30:$E74)/(1+$H$1)^(B73-$H$2)</f>
        <v>0</v>
      </c>
      <c r="M73" s="13">
        <f t="shared" si="3"/>
        <v>-11323972.25099358</v>
      </c>
      <c r="N73" s="3">
        <f>-I73*100/('Generation plant Input'!$D$7*1000000)</f>
        <v>0</v>
      </c>
      <c r="O73" s="12">
        <f t="shared" si="5"/>
        <v>3.9470020766402172</v>
      </c>
    </row>
    <row r="74" spans="2:15" x14ac:dyDescent="0.2">
      <c r="B74" s="20">
        <f t="shared" si="4"/>
        <v>2086</v>
      </c>
      <c r="C74" s="33">
        <f>'Input Capital &amp; Operating Costs'!C72*'Escalation Sheet'!$D67/'Escalation Sheet'!$D$3</f>
        <v>0</v>
      </c>
      <c r="E74" s="13">
        <f>'GEN 8%CCA'!L77</f>
        <v>0</v>
      </c>
      <c r="G74" s="33">
        <f>'Input Capital &amp; Operating Costs'!D72*'Escalation Sheet'!D67/'Escalation Sheet'!$D$3</f>
        <v>0</v>
      </c>
      <c r="H74" s="13">
        <v>0</v>
      </c>
      <c r="I74" s="13">
        <f t="shared" si="1"/>
        <v>0</v>
      </c>
      <c r="J74" s="13">
        <f t="shared" ref="J74:J90" si="6">I74/(1+$H$1)^(B74-$H$2)</f>
        <v>0</v>
      </c>
      <c r="K74" s="13">
        <f t="shared" si="2"/>
        <v>-11323972.25099358</v>
      </c>
      <c r="L74" s="13">
        <f>-NPV($H$1,E$30:$E75)/(1+$H$1)^(B74-$H$2)</f>
        <v>0</v>
      </c>
      <c r="M74" s="13">
        <f t="shared" si="3"/>
        <v>-11323972.25099358</v>
      </c>
      <c r="N74" s="3">
        <f>-I74*100/('Generation plant Input'!$D$7*1000000)</f>
        <v>0</v>
      </c>
      <c r="O74" s="12">
        <f t="shared" si="5"/>
        <v>3.9470020766402172</v>
      </c>
    </row>
    <row r="75" spans="2:15" x14ac:dyDescent="0.2">
      <c r="B75" s="20">
        <f t="shared" si="4"/>
        <v>2087</v>
      </c>
      <c r="C75" s="33">
        <f>'Input Capital &amp; Operating Costs'!C73*'Escalation Sheet'!$D68/'Escalation Sheet'!$D$3</f>
        <v>0</v>
      </c>
      <c r="E75" s="13">
        <f>'GEN 8%CCA'!L78</f>
        <v>0</v>
      </c>
      <c r="G75" s="33">
        <f>'Input Capital &amp; Operating Costs'!D73*'Escalation Sheet'!D68/'Escalation Sheet'!$D$3</f>
        <v>0</v>
      </c>
      <c r="H75" s="13">
        <v>0</v>
      </c>
      <c r="I75" s="13">
        <f t="shared" ref="I75:I90" si="7">H75-E75-G75</f>
        <v>0</v>
      </c>
      <c r="J75" s="13">
        <f t="shared" si="6"/>
        <v>0</v>
      </c>
      <c r="K75" s="13">
        <f t="shared" ref="K75:K90" si="8">K74+J75</f>
        <v>-11323972.25099358</v>
      </c>
      <c r="L75" s="13">
        <f>-NPV($H$1,E$30:$E76)/(1+$H$1)^(B75-$H$2)</f>
        <v>0</v>
      </c>
      <c r="M75" s="13">
        <f t="shared" ref="M75:M90" si="9">L75+K75</f>
        <v>-11323972.25099358</v>
      </c>
      <c r="N75" s="3">
        <f>-I75*100/('Generation plant Input'!$D$7*1000000)</f>
        <v>0</v>
      </c>
      <c r="O75" s="12">
        <f t="shared" si="5"/>
        <v>3.9470020766402172</v>
      </c>
    </row>
    <row r="76" spans="2:15" x14ac:dyDescent="0.2">
      <c r="B76" s="20">
        <f t="shared" ref="B76:B90" si="10">B75+1</f>
        <v>2088</v>
      </c>
      <c r="C76" s="33">
        <f>'Input Capital &amp; Operating Costs'!C74*'Escalation Sheet'!$D69/'Escalation Sheet'!$D$3</f>
        <v>0</v>
      </c>
      <c r="E76" s="13">
        <f>'GEN 8%CCA'!L79</f>
        <v>0</v>
      </c>
      <c r="G76" s="33">
        <f>'Input Capital &amp; Operating Costs'!D74*'Escalation Sheet'!D69/'Escalation Sheet'!$D$3</f>
        <v>0</v>
      </c>
      <c r="H76" s="13">
        <v>0</v>
      </c>
      <c r="I76" s="13">
        <f t="shared" si="7"/>
        <v>0</v>
      </c>
      <c r="J76" s="13">
        <f t="shared" si="6"/>
        <v>0</v>
      </c>
      <c r="K76" s="13">
        <f t="shared" si="8"/>
        <v>-11323972.25099358</v>
      </c>
      <c r="L76" s="13">
        <f>-NPV($H$1,E$30:$E77)/(1+$H$1)^(B76-$H$2)</f>
        <v>0</v>
      </c>
      <c r="M76" s="13">
        <f t="shared" si="9"/>
        <v>-11323972.25099358</v>
      </c>
      <c r="N76" s="3">
        <f>-I76*100/('Generation plant Input'!$D$7*1000000)</f>
        <v>0</v>
      </c>
      <c r="O76" s="12">
        <f t="shared" ref="O76:O90" si="11">+O75</f>
        <v>3.9470020766402172</v>
      </c>
    </row>
    <row r="77" spans="2:15" x14ac:dyDescent="0.2">
      <c r="B77" s="20">
        <f t="shared" si="10"/>
        <v>2089</v>
      </c>
      <c r="C77" s="33">
        <f>'Input Capital &amp; Operating Costs'!C75*'Escalation Sheet'!$D70/'Escalation Sheet'!$D$3</f>
        <v>0</v>
      </c>
      <c r="E77" s="13">
        <f>'GEN 8%CCA'!L80</f>
        <v>0</v>
      </c>
      <c r="G77" s="33">
        <f>'Input Capital &amp; Operating Costs'!D75*'Escalation Sheet'!D70/'Escalation Sheet'!$D$3</f>
        <v>0</v>
      </c>
      <c r="H77" s="13">
        <v>0</v>
      </c>
      <c r="I77" s="13">
        <f t="shared" si="7"/>
        <v>0</v>
      </c>
      <c r="J77" s="13">
        <f t="shared" si="6"/>
        <v>0</v>
      </c>
      <c r="K77" s="13">
        <f t="shared" si="8"/>
        <v>-11323972.25099358</v>
      </c>
      <c r="L77" s="13">
        <f>-NPV($H$1,E$30:$E78)/(1+$H$1)^(B77-$H$2)</f>
        <v>0</v>
      </c>
      <c r="M77" s="13">
        <f t="shared" si="9"/>
        <v>-11323972.25099358</v>
      </c>
      <c r="N77" s="3">
        <f>-I77*100/('Generation plant Input'!$D$7*1000000)</f>
        <v>0</v>
      </c>
      <c r="O77" s="12">
        <f t="shared" si="11"/>
        <v>3.9470020766402172</v>
      </c>
    </row>
    <row r="78" spans="2:15" x14ac:dyDescent="0.2">
      <c r="B78" s="20">
        <f t="shared" si="10"/>
        <v>2090</v>
      </c>
      <c r="C78" s="33">
        <f>'Input Capital &amp; Operating Costs'!C76*'Escalation Sheet'!$D71/'Escalation Sheet'!$D$3</f>
        <v>0</v>
      </c>
      <c r="E78" s="13">
        <f>'GEN 8%CCA'!L81</f>
        <v>0</v>
      </c>
      <c r="G78" s="33">
        <f>'Input Capital &amp; Operating Costs'!D76*'Escalation Sheet'!D71/'Escalation Sheet'!$D$3</f>
        <v>0</v>
      </c>
      <c r="H78" s="13">
        <v>0</v>
      </c>
      <c r="I78" s="13">
        <f t="shared" si="7"/>
        <v>0</v>
      </c>
      <c r="J78" s="13">
        <f t="shared" si="6"/>
        <v>0</v>
      </c>
      <c r="K78" s="13">
        <f t="shared" si="8"/>
        <v>-11323972.25099358</v>
      </c>
      <c r="L78" s="13">
        <f>-NPV($H$1,E$30:$E79)/(1+$H$1)^(B78-$H$2)</f>
        <v>0</v>
      </c>
      <c r="M78" s="13">
        <f t="shared" si="9"/>
        <v>-11323972.25099358</v>
      </c>
      <c r="N78" s="3">
        <f>-I78*100/('Generation plant Input'!$D$7*1000000)</f>
        <v>0</v>
      </c>
      <c r="O78" s="12">
        <f t="shared" si="11"/>
        <v>3.9470020766402172</v>
      </c>
    </row>
    <row r="79" spans="2:15" x14ac:dyDescent="0.2">
      <c r="B79" s="20">
        <f t="shared" si="10"/>
        <v>2091</v>
      </c>
      <c r="C79" s="33">
        <f>'Input Capital &amp; Operating Costs'!C77*'Escalation Sheet'!$D72/'Escalation Sheet'!$D$3</f>
        <v>0</v>
      </c>
      <c r="E79" s="13">
        <f>'GEN 8%CCA'!L82</f>
        <v>0</v>
      </c>
      <c r="G79" s="33">
        <f>'Input Capital &amp; Operating Costs'!D77*'Escalation Sheet'!D72/'Escalation Sheet'!$D$3</f>
        <v>0</v>
      </c>
      <c r="H79" s="13">
        <v>0</v>
      </c>
      <c r="I79" s="13">
        <f t="shared" si="7"/>
        <v>0</v>
      </c>
      <c r="J79" s="13">
        <f t="shared" si="6"/>
        <v>0</v>
      </c>
      <c r="K79" s="13">
        <f t="shared" si="8"/>
        <v>-11323972.25099358</v>
      </c>
      <c r="L79" s="13">
        <f>-NPV($H$1,E$30:$E80)/(1+$H$1)^(B79-$H$2)</f>
        <v>0</v>
      </c>
      <c r="M79" s="13">
        <f t="shared" si="9"/>
        <v>-11323972.25099358</v>
      </c>
      <c r="N79" s="3">
        <f>-I79*100/('Generation plant Input'!$D$7*1000000)</f>
        <v>0</v>
      </c>
      <c r="O79" s="12">
        <f t="shared" si="11"/>
        <v>3.9470020766402172</v>
      </c>
    </row>
    <row r="80" spans="2:15" x14ac:dyDescent="0.2">
      <c r="B80" s="20">
        <f t="shared" si="10"/>
        <v>2092</v>
      </c>
      <c r="C80" s="33">
        <f>'Input Capital &amp; Operating Costs'!C78*'Escalation Sheet'!$D73/'Escalation Sheet'!$D$3</f>
        <v>0</v>
      </c>
      <c r="E80" s="13">
        <f>'GEN 8%CCA'!L83</f>
        <v>0</v>
      </c>
      <c r="G80" s="33">
        <f>'Input Capital &amp; Operating Costs'!D78*'Escalation Sheet'!D73/'Escalation Sheet'!$D$3</f>
        <v>0</v>
      </c>
      <c r="H80" s="13">
        <v>0</v>
      </c>
      <c r="I80" s="13">
        <f t="shared" si="7"/>
        <v>0</v>
      </c>
      <c r="J80" s="13">
        <f t="shared" si="6"/>
        <v>0</v>
      </c>
      <c r="K80" s="13">
        <f t="shared" si="8"/>
        <v>-11323972.25099358</v>
      </c>
      <c r="L80" s="13">
        <f>-NPV($H$1,E$30:$E81)/(1+$H$1)^(B80-$H$2)</f>
        <v>0</v>
      </c>
      <c r="M80" s="13">
        <f t="shared" si="9"/>
        <v>-11323972.25099358</v>
      </c>
      <c r="N80" s="3">
        <f>-I80*100/('Generation plant Input'!$D$7*1000000)</f>
        <v>0</v>
      </c>
      <c r="O80" s="12">
        <f t="shared" si="11"/>
        <v>3.9470020766402172</v>
      </c>
    </row>
    <row r="81" spans="2:15" x14ac:dyDescent="0.2">
      <c r="B81" s="20">
        <f t="shared" si="10"/>
        <v>2093</v>
      </c>
      <c r="C81" s="33">
        <f>'Input Capital &amp; Operating Costs'!C79*'Escalation Sheet'!$D74/'Escalation Sheet'!$D$3</f>
        <v>0</v>
      </c>
      <c r="E81" s="13">
        <f>'GEN 8%CCA'!L84</f>
        <v>0</v>
      </c>
      <c r="G81" s="33">
        <f>'Input Capital &amp; Operating Costs'!D79*'Escalation Sheet'!D74/'Escalation Sheet'!$D$3</f>
        <v>0</v>
      </c>
      <c r="H81" s="13">
        <v>0</v>
      </c>
      <c r="I81" s="13">
        <f t="shared" si="7"/>
        <v>0</v>
      </c>
      <c r="J81" s="13">
        <f t="shared" si="6"/>
        <v>0</v>
      </c>
      <c r="K81" s="13">
        <f t="shared" si="8"/>
        <v>-11323972.25099358</v>
      </c>
      <c r="L81" s="13">
        <f>-NPV($H$1,E$30:$E82)/(1+$H$1)^(B81-$H$2)</f>
        <v>0</v>
      </c>
      <c r="M81" s="13">
        <f t="shared" si="9"/>
        <v>-11323972.25099358</v>
      </c>
      <c r="N81" s="3">
        <f>-I81*100/('Generation plant Input'!$D$7*1000000)</f>
        <v>0</v>
      </c>
      <c r="O81" s="12">
        <f t="shared" si="11"/>
        <v>3.9470020766402172</v>
      </c>
    </row>
    <row r="82" spans="2:15" x14ac:dyDescent="0.2">
      <c r="B82" s="20">
        <f t="shared" si="10"/>
        <v>2094</v>
      </c>
      <c r="C82" s="33">
        <f>'Input Capital &amp; Operating Costs'!C80*'Escalation Sheet'!$D75/'Escalation Sheet'!$D$3</f>
        <v>0</v>
      </c>
      <c r="E82" s="13">
        <f>'GEN 8%CCA'!L85</f>
        <v>0</v>
      </c>
      <c r="G82" s="33">
        <f>'Input Capital &amp; Operating Costs'!D80*'Escalation Sheet'!D75/'Escalation Sheet'!$D$3</f>
        <v>0</v>
      </c>
      <c r="H82" s="13">
        <v>0</v>
      </c>
      <c r="I82" s="13">
        <f t="shared" si="7"/>
        <v>0</v>
      </c>
      <c r="J82" s="13">
        <f t="shared" si="6"/>
        <v>0</v>
      </c>
      <c r="K82" s="13">
        <f t="shared" si="8"/>
        <v>-11323972.25099358</v>
      </c>
      <c r="L82" s="13">
        <f>-NPV($H$1,E$30:$E83)/(1+$H$1)^(B82-$H$2)</f>
        <v>0</v>
      </c>
      <c r="M82" s="13">
        <f t="shared" si="9"/>
        <v>-11323972.25099358</v>
      </c>
      <c r="N82" s="3">
        <f>-I82*100/('Generation plant Input'!$D$7*1000000)</f>
        <v>0</v>
      </c>
      <c r="O82" s="12">
        <f t="shared" si="11"/>
        <v>3.9470020766402172</v>
      </c>
    </row>
    <row r="83" spans="2:15" x14ac:dyDescent="0.2">
      <c r="B83" s="20">
        <f t="shared" si="10"/>
        <v>2095</v>
      </c>
      <c r="C83" s="33">
        <f>'Input Capital &amp; Operating Costs'!C81*'Escalation Sheet'!$D76/'Escalation Sheet'!$D$3</f>
        <v>0</v>
      </c>
      <c r="E83" s="13">
        <f>'GEN 8%CCA'!L86</f>
        <v>0</v>
      </c>
      <c r="G83" s="33">
        <f>'Input Capital &amp; Operating Costs'!D81*'Escalation Sheet'!D76/'Escalation Sheet'!$D$3</f>
        <v>0</v>
      </c>
      <c r="H83" s="13">
        <v>0</v>
      </c>
      <c r="I83" s="13">
        <f t="shared" si="7"/>
        <v>0</v>
      </c>
      <c r="J83" s="13">
        <f t="shared" si="6"/>
        <v>0</v>
      </c>
      <c r="K83" s="13">
        <f t="shared" si="8"/>
        <v>-11323972.25099358</v>
      </c>
      <c r="L83" s="13">
        <f>-NPV($H$1,E$30:$E84)/(1+$H$1)^(B83-$H$2)</f>
        <v>0</v>
      </c>
      <c r="M83" s="13">
        <f t="shared" si="9"/>
        <v>-11323972.25099358</v>
      </c>
      <c r="N83" s="3">
        <f>-I83*100/('Generation plant Input'!$D$7*1000000)</f>
        <v>0</v>
      </c>
      <c r="O83" s="12">
        <f t="shared" si="11"/>
        <v>3.9470020766402172</v>
      </c>
    </row>
    <row r="84" spans="2:15" x14ac:dyDescent="0.2">
      <c r="B84" s="20">
        <f t="shared" si="10"/>
        <v>2096</v>
      </c>
      <c r="C84" s="33">
        <f>'Input Capital &amp; Operating Costs'!C82*'Escalation Sheet'!$D77/'Escalation Sheet'!$D$3</f>
        <v>0</v>
      </c>
      <c r="E84" s="13">
        <f>'GEN 8%CCA'!L87</f>
        <v>0</v>
      </c>
      <c r="G84" s="33">
        <f>'Input Capital &amp; Operating Costs'!D82*'Escalation Sheet'!D77/'Escalation Sheet'!$D$3</f>
        <v>0</v>
      </c>
      <c r="H84" s="13">
        <v>0</v>
      </c>
      <c r="I84" s="13">
        <f t="shared" si="7"/>
        <v>0</v>
      </c>
      <c r="J84" s="13">
        <f t="shared" si="6"/>
        <v>0</v>
      </c>
      <c r="K84" s="13">
        <f t="shared" si="8"/>
        <v>-11323972.25099358</v>
      </c>
      <c r="L84" s="13">
        <f>-NPV($H$1,E$30:$E85)/(1+$H$1)^(B84-$H$2)</f>
        <v>0</v>
      </c>
      <c r="M84" s="13">
        <f t="shared" si="9"/>
        <v>-11323972.25099358</v>
      </c>
      <c r="N84" s="3">
        <f>-I84*100/('Generation plant Input'!$D$7*1000000)</f>
        <v>0</v>
      </c>
      <c r="O84" s="12">
        <f t="shared" si="11"/>
        <v>3.9470020766402172</v>
      </c>
    </row>
    <row r="85" spans="2:15" x14ac:dyDescent="0.2">
      <c r="B85" s="20">
        <f t="shared" si="10"/>
        <v>2097</v>
      </c>
      <c r="C85" s="33">
        <f>'Input Capital &amp; Operating Costs'!C83*'Escalation Sheet'!$D78/'Escalation Sheet'!$D$3</f>
        <v>0</v>
      </c>
      <c r="E85" s="13">
        <f>'GEN 8%CCA'!L88</f>
        <v>0</v>
      </c>
      <c r="G85" s="33">
        <f>'Input Capital &amp; Operating Costs'!D83*'Escalation Sheet'!D78/'Escalation Sheet'!$D$3</f>
        <v>0</v>
      </c>
      <c r="H85" s="13">
        <v>0</v>
      </c>
      <c r="I85" s="13">
        <f t="shared" si="7"/>
        <v>0</v>
      </c>
      <c r="J85" s="13">
        <f t="shared" si="6"/>
        <v>0</v>
      </c>
      <c r="K85" s="13">
        <f t="shared" si="8"/>
        <v>-11323972.25099358</v>
      </c>
      <c r="L85" s="13">
        <f>-NPV($H$1,E$30:$E86)/(1+$H$1)^(B85-$H$2)</f>
        <v>0</v>
      </c>
      <c r="M85" s="13">
        <f t="shared" si="9"/>
        <v>-11323972.25099358</v>
      </c>
      <c r="N85" s="3">
        <f>-I85*100/('Generation plant Input'!$D$7*1000000)</f>
        <v>0</v>
      </c>
      <c r="O85" s="12">
        <f t="shared" si="11"/>
        <v>3.9470020766402172</v>
      </c>
    </row>
    <row r="86" spans="2:15" x14ac:dyDescent="0.2">
      <c r="B86" s="20">
        <f t="shared" si="10"/>
        <v>2098</v>
      </c>
      <c r="C86" s="33">
        <f>'Input Capital &amp; Operating Costs'!C84*'Escalation Sheet'!$D79/'Escalation Sheet'!$D$3</f>
        <v>0</v>
      </c>
      <c r="E86" s="13">
        <f>'GEN 8%CCA'!L89</f>
        <v>0</v>
      </c>
      <c r="G86" s="33">
        <f>'Input Capital &amp; Operating Costs'!D84*'Escalation Sheet'!D79/'Escalation Sheet'!$D$3</f>
        <v>0</v>
      </c>
      <c r="H86" s="13">
        <v>0</v>
      </c>
      <c r="I86" s="13">
        <f t="shared" si="7"/>
        <v>0</v>
      </c>
      <c r="J86" s="13">
        <f t="shared" si="6"/>
        <v>0</v>
      </c>
      <c r="K86" s="13">
        <f t="shared" si="8"/>
        <v>-11323972.25099358</v>
      </c>
      <c r="L86" s="13">
        <f>-NPV($H$1,E$30:$E87)/(1+$H$1)^(B86-$H$2)</f>
        <v>0</v>
      </c>
      <c r="M86" s="13">
        <f t="shared" si="9"/>
        <v>-11323972.25099358</v>
      </c>
      <c r="N86" s="3">
        <f>-I86*100/('Generation plant Input'!$D$7*1000000)</f>
        <v>0</v>
      </c>
      <c r="O86" s="12">
        <f t="shared" si="11"/>
        <v>3.9470020766402172</v>
      </c>
    </row>
    <row r="87" spans="2:15" x14ac:dyDescent="0.2">
      <c r="B87" s="20">
        <f t="shared" si="10"/>
        <v>2099</v>
      </c>
      <c r="C87" s="33">
        <f>'Input Capital &amp; Operating Costs'!C85*'Escalation Sheet'!$D80/'Escalation Sheet'!$D$3</f>
        <v>0</v>
      </c>
      <c r="E87" s="13">
        <f>'GEN 8%CCA'!L90</f>
        <v>0</v>
      </c>
      <c r="G87" s="33">
        <f>'Input Capital &amp; Operating Costs'!D85*'Escalation Sheet'!D80/'Escalation Sheet'!$D$3</f>
        <v>0</v>
      </c>
      <c r="H87" s="13">
        <v>0</v>
      </c>
      <c r="I87" s="13">
        <f t="shared" si="7"/>
        <v>0</v>
      </c>
      <c r="J87" s="13">
        <f t="shared" si="6"/>
        <v>0</v>
      </c>
      <c r="K87" s="13">
        <f t="shared" si="8"/>
        <v>-11323972.25099358</v>
      </c>
      <c r="L87" s="13">
        <f>-NPV($H$1,E$30:$E88)/(1+$H$1)^(B87-$H$2)</f>
        <v>0</v>
      </c>
      <c r="M87" s="13">
        <f t="shared" si="9"/>
        <v>-11323972.25099358</v>
      </c>
      <c r="N87" s="3">
        <f>-I87*100/('Generation plant Input'!$D$7*1000000)</f>
        <v>0</v>
      </c>
      <c r="O87" s="12">
        <f t="shared" si="11"/>
        <v>3.9470020766402172</v>
      </c>
    </row>
    <row r="88" spans="2:15" x14ac:dyDescent="0.2">
      <c r="B88" s="20">
        <f t="shared" si="10"/>
        <v>2100</v>
      </c>
      <c r="C88" s="33">
        <f>'Input Capital &amp; Operating Costs'!C86*'Escalation Sheet'!$D81/'Escalation Sheet'!$D$3</f>
        <v>0</v>
      </c>
      <c r="E88" s="13">
        <f>'GEN 8%CCA'!L91</f>
        <v>0</v>
      </c>
      <c r="G88" s="33">
        <f>'Input Capital &amp; Operating Costs'!D86*'Escalation Sheet'!D81/'Escalation Sheet'!$D$3</f>
        <v>0</v>
      </c>
      <c r="H88" s="13">
        <v>0</v>
      </c>
      <c r="I88" s="13">
        <f t="shared" si="7"/>
        <v>0</v>
      </c>
      <c r="J88" s="13">
        <f t="shared" si="6"/>
        <v>0</v>
      </c>
      <c r="K88" s="13">
        <f t="shared" si="8"/>
        <v>-11323972.25099358</v>
      </c>
      <c r="L88" s="13">
        <f>-NPV($H$1,E$30:$E89)/(1+$H$1)^(B88-$H$2)</f>
        <v>0</v>
      </c>
      <c r="M88" s="13">
        <f t="shared" si="9"/>
        <v>-11323972.25099358</v>
      </c>
      <c r="N88" s="3">
        <f>-I88*100/('Generation plant Input'!$D$7*1000000)</f>
        <v>0</v>
      </c>
      <c r="O88" s="12">
        <f t="shared" si="11"/>
        <v>3.9470020766402172</v>
      </c>
    </row>
    <row r="89" spans="2:15" x14ac:dyDescent="0.2">
      <c r="B89" s="20">
        <f t="shared" si="10"/>
        <v>2101</v>
      </c>
      <c r="C89" s="33">
        <f>'Input Capital &amp; Operating Costs'!C87*'Escalation Sheet'!$D82/'Escalation Sheet'!$D$3</f>
        <v>0</v>
      </c>
      <c r="E89" s="13">
        <f>'GEN 8%CCA'!L92</f>
        <v>0</v>
      </c>
      <c r="G89" s="33">
        <f>'Input Capital &amp; Operating Costs'!D87*'Escalation Sheet'!D82/'Escalation Sheet'!$D$3</f>
        <v>0</v>
      </c>
      <c r="H89" s="13">
        <v>0</v>
      </c>
      <c r="I89" s="13">
        <f t="shared" si="7"/>
        <v>0</v>
      </c>
      <c r="J89" s="13">
        <f t="shared" si="6"/>
        <v>0</v>
      </c>
      <c r="K89" s="13">
        <f t="shared" si="8"/>
        <v>-11323972.25099358</v>
      </c>
      <c r="L89" s="13">
        <f>-NPV($H$1,E$30:$E90)/(1+$H$1)^(B89-$H$2)</f>
        <v>0</v>
      </c>
      <c r="M89" s="13">
        <f t="shared" si="9"/>
        <v>-11323972.25099358</v>
      </c>
      <c r="N89" s="3">
        <f>-I89*100/('Generation plant Input'!$D$7*1000000)</f>
        <v>0</v>
      </c>
      <c r="O89" s="12">
        <f t="shared" si="11"/>
        <v>3.9470020766402172</v>
      </c>
    </row>
    <row r="90" spans="2:15" x14ac:dyDescent="0.2">
      <c r="B90" s="20">
        <f t="shared" si="10"/>
        <v>2102</v>
      </c>
      <c r="C90" s="33">
        <f>'Input Capital &amp; Operating Costs'!C88*'Escalation Sheet'!$D83/'Escalation Sheet'!$D$3</f>
        <v>0</v>
      </c>
      <c r="E90" s="13">
        <f>'GEN 8%CCA'!L93</f>
        <v>0</v>
      </c>
      <c r="G90" s="33">
        <f>'Input Capital &amp; Operating Costs'!D88*'Escalation Sheet'!D83/'Escalation Sheet'!$D$3</f>
        <v>0</v>
      </c>
      <c r="H90" s="13">
        <v>0</v>
      </c>
      <c r="I90" s="13">
        <f t="shared" si="7"/>
        <v>0</v>
      </c>
      <c r="J90" s="13">
        <f t="shared" si="6"/>
        <v>0</v>
      </c>
      <c r="K90" s="13">
        <f t="shared" si="8"/>
        <v>-11323972.25099358</v>
      </c>
      <c r="L90" s="13">
        <f>-NPV($H$1,E$30:$E91)/(1+$H$1)^(B90-$H$2)</f>
        <v>0</v>
      </c>
      <c r="M90" s="13">
        <f t="shared" si="9"/>
        <v>-11323972.25099358</v>
      </c>
      <c r="N90" s="3">
        <f>-I90*100/('Generation plant Input'!$D$7*1000000)</f>
        <v>0</v>
      </c>
      <c r="O90" s="12">
        <f t="shared" si="11"/>
        <v>3.9470020766402172</v>
      </c>
    </row>
    <row r="91" spans="2:15" x14ac:dyDescent="0.2">
      <c r="B91" s="20"/>
    </row>
    <row r="92" spans="2:15" x14ac:dyDescent="0.2">
      <c r="B92" s="20"/>
    </row>
    <row r="93" spans="2:15" x14ac:dyDescent="0.2">
      <c r="B93" s="20"/>
    </row>
    <row r="94" spans="2:15" x14ac:dyDescent="0.2">
      <c r="B94" s="20"/>
    </row>
    <row r="95" spans="2:15" x14ac:dyDescent="0.2">
      <c r="B95" s="20"/>
    </row>
    <row r="96" spans="2:15" x14ac:dyDescent="0.2">
      <c r="B96" s="20"/>
    </row>
    <row r="97" spans="2:2" x14ac:dyDescent="0.2">
      <c r="B97" s="20"/>
    </row>
    <row r="98" spans="2:2" x14ac:dyDescent="0.2">
      <c r="B98" s="20"/>
    </row>
    <row r="99" spans="2:2" x14ac:dyDescent="0.2">
      <c r="B99" s="20"/>
    </row>
    <row r="100" spans="2:2" x14ac:dyDescent="0.2">
      <c r="B100" s="20"/>
    </row>
    <row r="101" spans="2:2" x14ac:dyDescent="0.2">
      <c r="B101" s="20"/>
    </row>
    <row r="102" spans="2:2" x14ac:dyDescent="0.2">
      <c r="B102" s="20"/>
    </row>
    <row r="103" spans="2:2" x14ac:dyDescent="0.2">
      <c r="B103" s="20"/>
    </row>
    <row r="104" spans="2:2" x14ac:dyDescent="0.2">
      <c r="B104" s="20"/>
    </row>
  </sheetData>
  <mergeCells count="9">
    <mergeCell ref="B4:O4"/>
    <mergeCell ref="E6:E8"/>
    <mergeCell ref="G6:G8"/>
    <mergeCell ref="H6:H8"/>
    <mergeCell ref="I6:I8"/>
    <mergeCell ref="J6:J8"/>
    <mergeCell ref="K6:K8"/>
    <mergeCell ref="L6:L8"/>
    <mergeCell ref="M6:M8"/>
  </mergeCells>
  <phoneticPr fontId="0" type="noConversion"/>
  <pageMargins left="0.75" right="0.75" top="1" bottom="1" header="0.5" footer="0.5"/>
  <pageSetup paperSize="5" scale="83" fitToHeight="2" orientation="landscape" r:id="rId1"/>
  <headerFooter alignWithMargins="0">
    <oddFooter>&amp;L&amp;F&amp;R&amp;D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248B6-9504-4923-AA8A-CFC1CF1BFACD}">
  <dimension ref="A1:F109"/>
  <sheetViews>
    <sheetView workbookViewId="0">
      <selection activeCell="F8" sqref="F8"/>
    </sheetView>
  </sheetViews>
  <sheetFormatPr defaultRowHeight="14.25" x14ac:dyDescent="0.2"/>
  <cols>
    <col min="1" max="1" width="9.28515625" style="109" bestFit="1" customWidth="1"/>
    <col min="2" max="2" width="10.28515625" style="109" bestFit="1" customWidth="1"/>
    <col min="3" max="3" width="9.28515625" style="109" bestFit="1" customWidth="1"/>
    <col min="4" max="4" width="12" style="109" customWidth="1"/>
    <col min="5" max="5" width="9.28515625" style="109" bestFit="1" customWidth="1"/>
    <col min="6" max="6" width="11.28515625" style="109" customWidth="1"/>
    <col min="7" max="16384" width="9.140625" style="109"/>
  </cols>
  <sheetData>
    <row r="1" spans="1:6" x14ac:dyDescent="0.2">
      <c r="A1" s="214" t="s">
        <v>70</v>
      </c>
      <c r="B1" s="214"/>
      <c r="C1" s="214"/>
      <c r="D1" s="214"/>
      <c r="E1" s="214"/>
      <c r="F1" s="214"/>
    </row>
    <row r="2" spans="1:6" ht="15" x14ac:dyDescent="0.25">
      <c r="A2" s="147"/>
      <c r="B2" s="147"/>
      <c r="C2" s="147"/>
      <c r="D2" s="147"/>
      <c r="E2" s="147"/>
      <c r="F2" s="147"/>
    </row>
    <row r="3" spans="1:6" x14ac:dyDescent="0.2">
      <c r="A3" s="215" t="s">
        <v>44</v>
      </c>
      <c r="B3" s="213" t="s">
        <v>48</v>
      </c>
      <c r="C3" s="213" t="s">
        <v>19</v>
      </c>
      <c r="D3" s="213" t="s">
        <v>55</v>
      </c>
      <c r="E3" s="213" t="s">
        <v>57</v>
      </c>
      <c r="F3" s="213" t="s">
        <v>68</v>
      </c>
    </row>
    <row r="4" spans="1:6" x14ac:dyDescent="0.2">
      <c r="A4" s="215"/>
      <c r="B4" s="213"/>
      <c r="C4" s="213"/>
      <c r="D4" s="213"/>
      <c r="E4" s="213"/>
      <c r="F4" s="213"/>
    </row>
    <row r="5" spans="1:6" x14ac:dyDescent="0.2">
      <c r="A5" s="215"/>
      <c r="B5" s="213"/>
      <c r="C5" s="213"/>
      <c r="D5" s="213"/>
      <c r="E5" s="213"/>
      <c r="F5" s="213"/>
    </row>
    <row r="6" spans="1:6" ht="15" x14ac:dyDescent="0.25">
      <c r="A6" s="147"/>
      <c r="B6" s="147"/>
      <c r="C6" s="147"/>
      <c r="D6" s="147"/>
      <c r="E6" s="148" t="s">
        <v>43</v>
      </c>
      <c r="F6" s="148" t="s">
        <v>43</v>
      </c>
    </row>
    <row r="7" spans="1:6" ht="15" x14ac:dyDescent="0.25">
      <c r="A7" s="149">
        <f>'Levelized PV Rev Rqmt'!B10</f>
        <v>2022</v>
      </c>
      <c r="B7" s="150">
        <v>0</v>
      </c>
      <c r="C7" s="150">
        <f>B7/(1+'Levelized PV Rev Rqmt'!$H$1)^('Levelized PV Rev Rqmt'!B10-'Levelized PV Rev Rqmt'!$H$2)</f>
        <v>0</v>
      </c>
      <c r="D7" s="151">
        <f>C7</f>
        <v>0</v>
      </c>
      <c r="E7" s="152">
        <f>B7/'Generation plant Input'!$D$5/10000</f>
        <v>0</v>
      </c>
      <c r="F7" s="153">
        <v>0</v>
      </c>
    </row>
    <row r="8" spans="1:6" ht="15" x14ac:dyDescent="0.25">
      <c r="A8" s="149">
        <f>'Levelized PV Rev Rqmt'!B11</f>
        <v>2023</v>
      </c>
      <c r="B8" s="150">
        <f>'Generation plant Input'!D13*'Avoided Supply Costs'!O11*1000</f>
        <v>168590.70866692177</v>
      </c>
      <c r="C8" s="150">
        <f>B8/(1+'Levelized PV Rev Rqmt'!$H$1)^('Levelized PV Rev Rqmt'!B11-'Levelized PV Rev Rqmt'!$H$2)</f>
        <v>159333.43603338226</v>
      </c>
      <c r="D8" s="151">
        <f t="shared" ref="D8:D26" si="0">C8+D7</f>
        <v>159333.43603338226</v>
      </c>
      <c r="E8" s="152">
        <f>B8/'Generation plant Input'!$D$5/10000</f>
        <v>0.61194449606868151</v>
      </c>
      <c r="F8" s="153">
        <f>-(PMT('Levelized PV Rev Rqmt'!$H$1,18.1,D26))*100/('Generation plant Input'!$D$7*1000000)*(1+'Levelized PV Rev Rqmt'!$H$1)</f>
        <v>4.7193056531444597</v>
      </c>
    </row>
    <row r="9" spans="1:6" ht="15" x14ac:dyDescent="0.25">
      <c r="A9" s="149">
        <f>'Levelized PV Rev Rqmt'!B12</f>
        <v>2024</v>
      </c>
      <c r="B9" s="150">
        <f>'Generation plant Input'!$D$5*'Avoided Supply Costs'!O12*1000</f>
        <v>967403.3994479829</v>
      </c>
      <c r="C9" s="150">
        <f>B9/(1+'Levelized PV Rev Rqmt'!$H$1)^('Levelized PV Rev Rqmt'!B12-'Levelized PV Rev Rqmt'!$H$2)</f>
        <v>864080.45227779017</v>
      </c>
      <c r="D9" s="151">
        <f t="shared" si="0"/>
        <v>1023413.8883111724</v>
      </c>
      <c r="E9" s="152">
        <f>B9/'Generation plant Input'!$D$5/10000</f>
        <v>3.5114460959999376</v>
      </c>
      <c r="F9" s="153">
        <f t="shared" ref="F9:F26" si="1">F8</f>
        <v>4.7193056531444597</v>
      </c>
    </row>
    <row r="10" spans="1:6" ht="15" x14ac:dyDescent="0.25">
      <c r="A10" s="149">
        <f>'Levelized PV Rev Rqmt'!B13</f>
        <v>2025</v>
      </c>
      <c r="B10" s="150">
        <f>'Generation plant Input'!$D$5*'Avoided Supply Costs'!O13*1000</f>
        <v>994898.35917396296</v>
      </c>
      <c r="C10" s="150">
        <f>B10/(1+'Levelized PV Rev Rqmt'!$H$1)^('Levelized PV Rev Rqmt'!B13-'Levelized PV Rev Rqmt'!$H$2)</f>
        <v>839843.89860417775</v>
      </c>
      <c r="D10" s="151">
        <f t="shared" si="0"/>
        <v>1863257.7869153502</v>
      </c>
      <c r="E10" s="152">
        <f>B10/'Generation plant Input'!$D$5/10000</f>
        <v>3.6112463127911543</v>
      </c>
      <c r="F10" s="153">
        <f t="shared" si="1"/>
        <v>4.7193056531444597</v>
      </c>
    </row>
    <row r="11" spans="1:6" ht="15" x14ac:dyDescent="0.25">
      <c r="A11" s="149">
        <f>'Levelized PV Rev Rqmt'!B14</f>
        <v>2026</v>
      </c>
      <c r="B11" s="150">
        <f>'Generation plant Input'!$D$5*'Avoided Supply Costs'!O14*1000</f>
        <v>1063798.5559451471</v>
      </c>
      <c r="C11" s="150">
        <f>B11/(1+'Levelized PV Rev Rqmt'!$H$1)^('Levelized PV Rev Rqmt'!B14-'Levelized PV Rev Rqmt'!$H$2)</f>
        <v>848696.74962965457</v>
      </c>
      <c r="D11" s="151">
        <f t="shared" si="0"/>
        <v>2711954.5365450047</v>
      </c>
      <c r="E11" s="152">
        <f>B11/'Generation plant Input'!$D$5/10000</f>
        <v>3.8613377711257608</v>
      </c>
      <c r="F11" s="153">
        <f t="shared" si="1"/>
        <v>4.7193056531444597</v>
      </c>
    </row>
    <row r="12" spans="1:6" ht="15" x14ac:dyDescent="0.25">
      <c r="A12" s="149">
        <f>'Levelized PV Rev Rqmt'!B15</f>
        <v>2027</v>
      </c>
      <c r="B12" s="150">
        <f>'Generation plant Input'!$D$5*'Avoided Supply Costs'!O15*1000</f>
        <v>1101348.3503786316</v>
      </c>
      <c r="C12" s="150">
        <f>B12/(1+'Levelized PV Rev Rqmt'!$H$1)^('Levelized PV Rev Rqmt'!B15-'Levelized PV Rev Rqmt'!$H$2)</f>
        <v>830407.25287811039</v>
      </c>
      <c r="D12" s="151">
        <f t="shared" si="0"/>
        <v>3542361.7894231151</v>
      </c>
      <c r="E12" s="152">
        <f>B12/'Generation plant Input'!$D$5/10000</f>
        <v>3.9976346656211672</v>
      </c>
      <c r="F12" s="153">
        <f t="shared" si="1"/>
        <v>4.7193056531444597</v>
      </c>
    </row>
    <row r="13" spans="1:6" ht="15" x14ac:dyDescent="0.25">
      <c r="A13" s="149">
        <f>'Levelized PV Rev Rqmt'!B16</f>
        <v>2028</v>
      </c>
      <c r="B13" s="150">
        <f>'Generation plant Input'!$D$5*'Avoided Supply Costs'!O16*1000</f>
        <v>1183998.7516688453</v>
      </c>
      <c r="C13" s="150">
        <f>B13/(1+'Levelized PV Rev Rqmt'!$H$1)^('Levelized PV Rev Rqmt'!B16-'Levelized PV Rev Rqmt'!$H$2)</f>
        <v>843705.651433861</v>
      </c>
      <c r="D13" s="151">
        <f t="shared" si="0"/>
        <v>4386067.4408569764</v>
      </c>
      <c r="E13" s="152">
        <f>B13/'Generation plant Input'!$D$5/10000</f>
        <v>4.2976361222099646</v>
      </c>
      <c r="F13" s="153">
        <f t="shared" si="1"/>
        <v>4.7193056531444597</v>
      </c>
    </row>
    <row r="14" spans="1:6" ht="15" x14ac:dyDescent="0.25">
      <c r="A14" s="149">
        <f>'Levelized PV Rev Rqmt'!B17</f>
        <v>2029</v>
      </c>
      <c r="B14" s="150">
        <f>'Generation plant Input'!$D$5*'Avoided Supply Costs'!O17*1000</f>
        <v>1309672.0746944507</v>
      </c>
      <c r="C14" s="150">
        <f>B14/(1+'Levelized PV Rev Rqmt'!$H$1)^('Levelized PV Rev Rqmt'!B17-'Levelized PV Rev Rqmt'!$H$2)</f>
        <v>882014.17887729337</v>
      </c>
      <c r="D14" s="151">
        <f t="shared" si="0"/>
        <v>5268081.6197342696</v>
      </c>
      <c r="E14" s="152">
        <f>B14/'Generation plant Input'!$D$5/10000</f>
        <v>4.7538006340996395</v>
      </c>
      <c r="F14" s="153">
        <f t="shared" si="1"/>
        <v>4.7193056531444597</v>
      </c>
    </row>
    <row r="15" spans="1:6" ht="15" x14ac:dyDescent="0.25">
      <c r="A15" s="149">
        <f>'Levelized PV Rev Rqmt'!B18</f>
        <v>2030</v>
      </c>
      <c r="B15" s="150">
        <f>'Generation plant Input'!$D$5*'Avoided Supply Costs'!O18*1000</f>
        <v>1332398.454217507</v>
      </c>
      <c r="C15" s="150">
        <f>B15/(1+'Levelized PV Rev Rqmt'!$H$1)^('Levelized PV Rev Rqmt'!B18-'Levelized PV Rev Rqmt'!$H$2)</f>
        <v>848047.94299632788</v>
      </c>
      <c r="D15" s="151">
        <f t="shared" si="0"/>
        <v>6116129.5627305973</v>
      </c>
      <c r="E15" s="152">
        <f>B15/'Generation plant Input'!$D$5/10000</f>
        <v>4.8362920298276117</v>
      </c>
      <c r="F15" s="153">
        <f t="shared" si="1"/>
        <v>4.7193056531444597</v>
      </c>
    </row>
    <row r="16" spans="1:6" ht="15" x14ac:dyDescent="0.25">
      <c r="A16" s="149">
        <f>'Levelized PV Rev Rqmt'!B19</f>
        <v>2031</v>
      </c>
      <c r="B16" s="150">
        <f>'Generation plant Input'!$D$5*'Avoided Supply Costs'!O19*1000</f>
        <v>1355698.3412666966</v>
      </c>
      <c r="C16" s="150">
        <f>B16/(1+'Levelized PV Rev Rqmt'!$H$1)^('Levelized PV Rev Rqmt'!B19-'Levelized PV Rev Rqmt'!$H$2)</f>
        <v>815497.50224669464</v>
      </c>
      <c r="D16" s="151">
        <f t="shared" si="0"/>
        <v>6931627.064977292</v>
      </c>
      <c r="E16" s="152">
        <f>B16/'Generation plant Input'!$D$5/10000</f>
        <v>4.9208651225651421</v>
      </c>
      <c r="F16" s="153">
        <f t="shared" si="1"/>
        <v>4.7193056531444597</v>
      </c>
    </row>
    <row r="17" spans="1:6" ht="15" x14ac:dyDescent="0.25">
      <c r="A17" s="149">
        <f>'Levelized PV Rev Rqmt'!B20</f>
        <v>2032</v>
      </c>
      <c r="B17" s="150">
        <f>'Generation plant Input'!$D$5*'Avoided Supply Costs'!O20*1000</f>
        <v>1379215.8594599122</v>
      </c>
      <c r="C17" s="150">
        <f>B17/(1+'Levelized PV Rev Rqmt'!$H$1)^('Levelized PV Rev Rqmt'!B20-'Levelized PV Rev Rqmt'!$H$2)</f>
        <v>784088.52584291634</v>
      </c>
      <c r="D17" s="151">
        <f t="shared" si="0"/>
        <v>7715715.5908202082</v>
      </c>
      <c r="E17" s="152">
        <f>B17/'Generation plant Input'!$D$5/10000</f>
        <v>5.0062281650087552</v>
      </c>
      <c r="F17" s="153">
        <f t="shared" si="1"/>
        <v>4.7193056531444597</v>
      </c>
    </row>
    <row r="18" spans="1:6" ht="15" x14ac:dyDescent="0.25">
      <c r="A18" s="149">
        <f>'Levelized PV Rev Rqmt'!B21</f>
        <v>2033</v>
      </c>
      <c r="B18" s="150">
        <f>'Generation plant Input'!$D$5*'Avoided Supply Costs'!O21*1000</f>
        <v>1403036.3300979375</v>
      </c>
      <c r="C18" s="150">
        <f>B18/(1+'Levelized PV Rev Rqmt'!$H$1)^('Levelized PV Rev Rqmt'!B21-'Levelized PV Rev Rqmt'!$H$2)</f>
        <v>753832.84929048026</v>
      </c>
      <c r="D18" s="151">
        <f t="shared" si="0"/>
        <v>8469548.440110689</v>
      </c>
      <c r="E18" s="152">
        <f>B18/'Generation plant Input'!$D$5/10000</f>
        <v>5.092690853350045</v>
      </c>
      <c r="F18" s="153">
        <f t="shared" si="1"/>
        <v>4.7193056531444597</v>
      </c>
    </row>
    <row r="19" spans="1:6" ht="15" x14ac:dyDescent="0.25">
      <c r="A19" s="149">
        <f>'Levelized PV Rev Rqmt'!B22</f>
        <v>2034</v>
      </c>
      <c r="B19" s="150">
        <f>'Generation plant Input'!$D$5*'Avoided Supply Costs'!O22*1000</f>
        <v>1427189.6774630751</v>
      </c>
      <c r="C19" s="150">
        <f>B19/(1+'Levelized PV Rev Rqmt'!$H$1)^('Levelized PV Rev Rqmt'!B22-'Levelized PV Rev Rqmt'!$H$2)</f>
        <v>724704.77566506341</v>
      </c>
      <c r="D19" s="151">
        <f t="shared" si="0"/>
        <v>9194253.2157757524</v>
      </c>
      <c r="E19" s="152">
        <f>B19/'Generation plant Input'!$D$5/10000</f>
        <v>5.1803618056735941</v>
      </c>
      <c r="F19" s="153">
        <f t="shared" si="1"/>
        <v>4.7193056531444597</v>
      </c>
    </row>
    <row r="20" spans="1:6" ht="15" x14ac:dyDescent="0.25">
      <c r="A20" s="149">
        <f>'Levelized PV Rev Rqmt'!B23</f>
        <v>2035</v>
      </c>
      <c r="B20" s="150">
        <f>'Generation plant Input'!$D$5*'Avoided Supply Costs'!O23*1000</f>
        <v>1451680.3531014535</v>
      </c>
      <c r="C20" s="150">
        <f>B20/(1+'Levelized PV Rev Rqmt'!$H$1)^('Levelized PV Rev Rqmt'!B23-'Levelized PV Rev Rqmt'!$H$2)</f>
        <v>696664.55040780525</v>
      </c>
      <c r="D20" s="151">
        <f t="shared" si="0"/>
        <v>9890917.766183557</v>
      </c>
      <c r="E20" s="152">
        <f>B20/'Generation plant Input'!$D$5/10000</f>
        <v>5.2692571800415733</v>
      </c>
      <c r="F20" s="153">
        <f t="shared" si="1"/>
        <v>4.7193056531444597</v>
      </c>
    </row>
    <row r="21" spans="1:6" ht="15" x14ac:dyDescent="0.25">
      <c r="A21" s="149">
        <f>'Levelized PV Rev Rqmt'!B24</f>
        <v>2036</v>
      </c>
      <c r="B21" s="150">
        <f>'Generation plant Input'!$D$5*'Avoided Supply Costs'!O24*1000</f>
        <v>1476729.6977788722</v>
      </c>
      <c r="C21" s="150">
        <f>B21/(1+'Levelized PV Rev Rqmt'!$H$1)^('Levelized PV Rev Rqmt'!B24-'Levelized PV Rev Rqmt'!$H$2)</f>
        <v>669772.03029487643</v>
      </c>
      <c r="D21" s="151">
        <f t="shared" si="0"/>
        <v>10560689.796478434</v>
      </c>
      <c r="E21" s="152">
        <f>B21/'Generation plant Input'!$D$5/10000</f>
        <v>5.3601803912118777</v>
      </c>
      <c r="F21" s="153">
        <f t="shared" si="1"/>
        <v>4.7193056531444597</v>
      </c>
    </row>
    <row r="22" spans="1:6" ht="15" x14ac:dyDescent="0.25">
      <c r="A22" s="149">
        <f>'Levelized PV Rev Rqmt'!B25</f>
        <v>2037</v>
      </c>
      <c r="B22" s="150">
        <f>'Generation plant Input'!$D$5*'Avoided Supply Costs'!O25*1000</f>
        <v>1501918.2769268434</v>
      </c>
      <c r="C22" s="150">
        <f>B22/(1+'Levelized PV Rev Rqmt'!$H$1)^('Levelized PV Rev Rqmt'!B25-'Levelized PV Rev Rqmt'!$H$2)</f>
        <v>643792.01600029052</v>
      </c>
      <c r="D22" s="151">
        <f t="shared" si="0"/>
        <v>11204481.812478725</v>
      </c>
      <c r="E22" s="152">
        <f>B22/'Generation plant Input'!$D$5/10000</f>
        <v>5.4516089906600484</v>
      </c>
      <c r="F22" s="153">
        <f t="shared" si="1"/>
        <v>4.7193056531444597</v>
      </c>
    </row>
    <row r="23" spans="1:6" ht="15" x14ac:dyDescent="0.25">
      <c r="A23" s="149">
        <f>'Levelized PV Rev Rqmt'!B26</f>
        <v>2038</v>
      </c>
      <c r="B23" s="150">
        <f>'Generation plant Input'!$D$5*'Avoided Supply Costs'!O26*1000</f>
        <v>1527710.5351913692</v>
      </c>
      <c r="C23" s="150">
        <f>B23/(1+'Levelized PV Rev Rqmt'!$H$1)^('Levelized PV Rev Rqmt'!B26-'Levelized PV Rev Rqmt'!$H$2)</f>
        <v>618890.25355761312</v>
      </c>
      <c r="D23" s="151">
        <f t="shared" si="0"/>
        <v>11823372.066036338</v>
      </c>
      <c r="E23" s="152">
        <f>B23/'Generation plant Input'!$D$5/10000</f>
        <v>5.545228802872483</v>
      </c>
      <c r="F23" s="153">
        <f t="shared" si="1"/>
        <v>4.7193056531444597</v>
      </c>
    </row>
    <row r="24" spans="1:6" ht="15" x14ac:dyDescent="0.25">
      <c r="A24" s="149">
        <f>'Levelized PV Rev Rqmt'!B27</f>
        <v>2039</v>
      </c>
      <c r="B24" s="150">
        <f>'Generation plant Input'!$D$5*'Avoided Supply Costs'!O27*1000</f>
        <v>1553654.6406404774</v>
      </c>
      <c r="C24" s="150">
        <f>B24/(1+'Levelized PV Rev Rqmt'!$H$1)^('Levelized PV Rev Rqmt'!B27-'Levelized PV Rev Rqmt'!$H$2)</f>
        <v>594840.24249409197</v>
      </c>
      <c r="D24" s="151">
        <f t="shared" si="0"/>
        <v>12418212.308530429</v>
      </c>
      <c r="E24" s="152">
        <f>B24/'Generation plant Input'!$D$5/10000</f>
        <v>5.6393997845389379</v>
      </c>
      <c r="F24" s="153">
        <f t="shared" si="1"/>
        <v>4.7193056531444597</v>
      </c>
    </row>
    <row r="25" spans="1:6" ht="15" x14ac:dyDescent="0.25">
      <c r="A25" s="149">
        <f>'Levelized PV Rev Rqmt'!B28</f>
        <v>2040</v>
      </c>
      <c r="B25" s="150">
        <f>'Generation plant Input'!$D$5*'Avoided Supply Costs'!O28*1000</f>
        <v>1580312.4773187439</v>
      </c>
      <c r="C25" s="150">
        <f>B25/(1+'Levelized PV Rev Rqmt'!$H$1)^('Levelized PV Rev Rqmt'!B28-'Levelized PV Rev Rqmt'!$H$2)</f>
        <v>571823.64575124125</v>
      </c>
      <c r="D25" s="151">
        <f t="shared" si="0"/>
        <v>12990035.954281671</v>
      </c>
      <c r="E25" s="152">
        <f>B25/'Generation plant Input'!$D$5/10000</f>
        <v>5.7361614421732989</v>
      </c>
      <c r="F25" s="153">
        <f t="shared" si="1"/>
        <v>4.7193056531444597</v>
      </c>
    </row>
    <row r="26" spans="1:6" ht="15" x14ac:dyDescent="0.25">
      <c r="A26" s="149">
        <f>'Levelized PV Rev Rqmt'!B29</f>
        <v>2041</v>
      </c>
      <c r="B26" s="150">
        <f>'Generation plant Input'!$D$5*'Avoided Supply Costs'!O29*1000</f>
        <v>1607375.5689853779</v>
      </c>
      <c r="C26" s="150">
        <f>B26/(1+'Levelized PV Rev Rqmt'!$H$1)^('Levelized PV Rev Rqmt'!B29-'Levelized PV Rev Rqmt'!$H$2)</f>
        <v>549679.81542866444</v>
      </c>
      <c r="D26" s="151">
        <f t="shared" si="0"/>
        <v>13539715.769710336</v>
      </c>
      <c r="E26" s="152">
        <f>B26/'Generation plant Input'!$D$5/10000</f>
        <v>5.8343940798017337</v>
      </c>
      <c r="F26" s="153">
        <f t="shared" si="1"/>
        <v>4.7193056531444597</v>
      </c>
    </row>
    <row r="27" spans="1:6" ht="15" x14ac:dyDescent="0.25">
      <c r="A27" s="149"/>
      <c r="B27" s="150"/>
      <c r="C27" s="150"/>
      <c r="D27" s="151"/>
      <c r="E27" s="152"/>
      <c r="F27" s="153"/>
    </row>
    <row r="28" spans="1:6" ht="15" x14ac:dyDescent="0.25">
      <c r="A28" s="149"/>
      <c r="B28" s="150"/>
      <c r="C28" s="150"/>
      <c r="D28" s="151"/>
      <c r="E28" s="152"/>
      <c r="F28" s="153"/>
    </row>
    <row r="29" spans="1:6" ht="15" x14ac:dyDescent="0.25">
      <c r="A29" s="149"/>
      <c r="B29" s="150"/>
      <c r="C29" s="150"/>
      <c r="D29" s="151"/>
      <c r="E29" s="152"/>
      <c r="F29" s="153"/>
    </row>
    <row r="30" spans="1:6" ht="15" x14ac:dyDescent="0.25">
      <c r="A30" s="149"/>
      <c r="B30" s="150"/>
      <c r="C30" s="150"/>
      <c r="D30" s="151"/>
      <c r="E30" s="152"/>
      <c r="F30" s="153"/>
    </row>
    <row r="31" spans="1:6" ht="15" x14ac:dyDescent="0.25">
      <c r="A31" s="149"/>
      <c r="B31" s="150"/>
      <c r="C31" s="150"/>
      <c r="D31" s="151"/>
      <c r="E31" s="152"/>
      <c r="F31" s="153"/>
    </row>
    <row r="32" spans="1:6" ht="15" x14ac:dyDescent="0.25">
      <c r="A32" s="149"/>
      <c r="B32" s="150"/>
      <c r="C32" s="150"/>
      <c r="D32" s="151"/>
      <c r="E32" s="152"/>
      <c r="F32" s="153"/>
    </row>
    <row r="33" spans="1:6" ht="15" x14ac:dyDescent="0.25">
      <c r="A33" s="149"/>
      <c r="B33" s="150"/>
      <c r="C33" s="150"/>
      <c r="D33" s="151"/>
      <c r="E33" s="152"/>
      <c r="F33" s="153"/>
    </row>
    <row r="34" spans="1:6" ht="15" x14ac:dyDescent="0.25">
      <c r="A34" s="149"/>
      <c r="B34" s="150"/>
      <c r="C34" s="150"/>
      <c r="D34" s="151"/>
      <c r="E34" s="152"/>
      <c r="F34" s="153"/>
    </row>
    <row r="35" spans="1:6" ht="15" x14ac:dyDescent="0.25">
      <c r="A35" s="149"/>
      <c r="B35" s="150"/>
      <c r="C35" s="150"/>
      <c r="D35" s="151"/>
      <c r="E35" s="152"/>
      <c r="F35" s="153"/>
    </row>
    <row r="36" spans="1:6" ht="15" x14ac:dyDescent="0.25">
      <c r="A36" s="149"/>
      <c r="B36" s="150"/>
      <c r="C36" s="150"/>
      <c r="D36" s="151"/>
      <c r="E36" s="152"/>
      <c r="F36" s="153"/>
    </row>
    <row r="37" spans="1:6" ht="15" x14ac:dyDescent="0.25">
      <c r="A37" s="149"/>
      <c r="B37" s="150"/>
      <c r="C37" s="150"/>
      <c r="D37" s="151"/>
      <c r="E37" s="152"/>
      <c r="F37" s="153"/>
    </row>
    <row r="38" spans="1:6" ht="15" x14ac:dyDescent="0.25">
      <c r="A38" s="149"/>
      <c r="B38" s="150"/>
      <c r="C38" s="150"/>
      <c r="D38" s="151"/>
      <c r="E38" s="152"/>
      <c r="F38" s="153"/>
    </row>
    <row r="39" spans="1:6" ht="15" x14ac:dyDescent="0.25">
      <c r="A39" s="149"/>
      <c r="B39" s="150"/>
      <c r="C39" s="150"/>
      <c r="D39" s="151"/>
      <c r="E39" s="152"/>
      <c r="F39" s="153"/>
    </row>
    <row r="40" spans="1:6" ht="15" x14ac:dyDescent="0.25">
      <c r="A40" s="149"/>
      <c r="B40" s="150"/>
      <c r="C40" s="150"/>
      <c r="D40" s="151"/>
      <c r="E40" s="152"/>
      <c r="F40" s="153"/>
    </row>
    <row r="41" spans="1:6" ht="15" x14ac:dyDescent="0.25">
      <c r="A41" s="149"/>
      <c r="B41" s="150"/>
      <c r="C41" s="150"/>
      <c r="D41" s="151"/>
      <c r="E41" s="152"/>
      <c r="F41" s="153"/>
    </row>
    <row r="42" spans="1:6" ht="15" x14ac:dyDescent="0.25">
      <c r="A42" s="149"/>
      <c r="B42" s="150"/>
      <c r="C42" s="150"/>
      <c r="D42" s="151"/>
      <c r="E42" s="152"/>
      <c r="F42" s="153"/>
    </row>
    <row r="43" spans="1:6" ht="15" x14ac:dyDescent="0.25">
      <c r="A43" s="149"/>
      <c r="B43" s="150"/>
      <c r="C43" s="150"/>
      <c r="D43" s="151"/>
      <c r="E43" s="152"/>
      <c r="F43" s="153"/>
    </row>
    <row r="44" spans="1:6" ht="15" x14ac:dyDescent="0.25">
      <c r="A44" s="149"/>
      <c r="B44" s="150"/>
      <c r="C44" s="150"/>
      <c r="D44" s="151"/>
      <c r="E44" s="152"/>
      <c r="F44" s="153"/>
    </row>
    <row r="45" spans="1:6" ht="15" x14ac:dyDescent="0.25">
      <c r="A45" s="149"/>
      <c r="B45" s="150"/>
      <c r="C45" s="150"/>
      <c r="D45" s="151"/>
      <c r="E45" s="152"/>
      <c r="F45" s="153"/>
    </row>
    <row r="46" spans="1:6" ht="15" x14ac:dyDescent="0.25">
      <c r="A46" s="149"/>
      <c r="B46" s="150"/>
      <c r="C46" s="150"/>
      <c r="D46" s="151"/>
      <c r="E46" s="152"/>
      <c r="F46" s="153"/>
    </row>
    <row r="47" spans="1:6" ht="15" x14ac:dyDescent="0.25">
      <c r="A47" s="149"/>
      <c r="B47" s="150"/>
      <c r="C47" s="150"/>
      <c r="D47" s="151"/>
      <c r="E47" s="152"/>
      <c r="F47" s="153"/>
    </row>
    <row r="48" spans="1:6" ht="15" x14ac:dyDescent="0.25">
      <c r="A48" s="149"/>
      <c r="B48" s="150"/>
      <c r="C48" s="150"/>
      <c r="D48" s="151"/>
      <c r="E48" s="152"/>
      <c r="F48" s="153"/>
    </row>
    <row r="49" spans="1:6" ht="15" x14ac:dyDescent="0.25">
      <c r="A49" s="149"/>
      <c r="B49" s="150"/>
      <c r="C49" s="150"/>
      <c r="D49" s="151"/>
      <c r="E49" s="152"/>
      <c r="F49" s="153"/>
    </row>
    <row r="50" spans="1:6" ht="15" x14ac:dyDescent="0.25">
      <c r="A50" s="149"/>
      <c r="B50" s="150"/>
      <c r="C50" s="150"/>
      <c r="D50" s="151"/>
      <c r="E50" s="152"/>
      <c r="F50" s="153"/>
    </row>
    <row r="51" spans="1:6" ht="15" x14ac:dyDescent="0.25">
      <c r="A51" s="149"/>
      <c r="B51" s="150"/>
      <c r="C51" s="150"/>
      <c r="D51" s="151"/>
      <c r="E51" s="152"/>
      <c r="F51" s="153"/>
    </row>
    <row r="52" spans="1:6" ht="15" x14ac:dyDescent="0.25">
      <c r="A52" s="149"/>
      <c r="B52" s="150"/>
      <c r="C52" s="150"/>
      <c r="D52" s="151"/>
      <c r="E52" s="152"/>
      <c r="F52" s="153"/>
    </row>
    <row r="53" spans="1:6" ht="15" x14ac:dyDescent="0.25">
      <c r="A53" s="149"/>
      <c r="B53" s="150"/>
      <c r="C53" s="150"/>
      <c r="D53" s="151"/>
      <c r="E53" s="152"/>
      <c r="F53" s="153"/>
    </row>
    <row r="54" spans="1:6" ht="15" x14ac:dyDescent="0.25">
      <c r="A54" s="149"/>
      <c r="B54" s="150"/>
      <c r="C54" s="150"/>
      <c r="D54" s="151"/>
      <c r="E54" s="152"/>
      <c r="F54" s="153"/>
    </row>
    <row r="55" spans="1:6" ht="15" x14ac:dyDescent="0.25">
      <c r="A55" s="149"/>
      <c r="B55" s="150"/>
      <c r="C55" s="150"/>
      <c r="D55" s="151"/>
      <c r="E55" s="152"/>
      <c r="F55" s="153"/>
    </row>
    <row r="56" spans="1:6" ht="15" x14ac:dyDescent="0.25">
      <c r="A56" s="149"/>
      <c r="B56" s="150"/>
      <c r="C56" s="150"/>
      <c r="D56" s="151"/>
      <c r="E56" s="152"/>
      <c r="F56" s="153"/>
    </row>
    <row r="57" spans="1:6" ht="15" x14ac:dyDescent="0.25">
      <c r="A57" s="149"/>
      <c r="B57" s="150"/>
      <c r="C57" s="150"/>
      <c r="D57" s="151"/>
      <c r="E57" s="152"/>
      <c r="F57" s="153"/>
    </row>
    <row r="58" spans="1:6" ht="15" x14ac:dyDescent="0.25">
      <c r="A58" s="149"/>
      <c r="B58" s="150"/>
      <c r="C58" s="150"/>
      <c r="D58" s="151"/>
      <c r="E58" s="152"/>
      <c r="F58" s="153"/>
    </row>
    <row r="59" spans="1:6" ht="15" x14ac:dyDescent="0.25">
      <c r="A59" s="149"/>
      <c r="B59" s="150"/>
      <c r="C59" s="150"/>
      <c r="D59" s="151"/>
      <c r="E59" s="152"/>
      <c r="F59" s="153"/>
    </row>
    <row r="60" spans="1:6" ht="15" x14ac:dyDescent="0.25">
      <c r="A60" s="149"/>
      <c r="B60" s="150"/>
      <c r="C60" s="150"/>
      <c r="D60" s="151"/>
      <c r="E60" s="152"/>
      <c r="F60" s="153"/>
    </row>
    <row r="61" spans="1:6" ht="15" x14ac:dyDescent="0.25">
      <c r="A61" s="149"/>
      <c r="B61" s="150"/>
      <c r="C61" s="150"/>
      <c r="D61" s="151"/>
      <c r="E61" s="152"/>
      <c r="F61" s="153"/>
    </row>
    <row r="62" spans="1:6" ht="15" x14ac:dyDescent="0.25">
      <c r="A62" s="149"/>
      <c r="B62" s="150"/>
      <c r="C62" s="150"/>
      <c r="D62" s="151"/>
      <c r="E62" s="152"/>
      <c r="F62" s="153"/>
    </row>
    <row r="63" spans="1:6" ht="15" x14ac:dyDescent="0.25">
      <c r="A63" s="149"/>
      <c r="B63" s="150"/>
      <c r="C63" s="150"/>
      <c r="D63" s="151"/>
      <c r="E63" s="152"/>
      <c r="F63" s="153"/>
    </row>
    <row r="64" spans="1:6" ht="15" x14ac:dyDescent="0.25">
      <c r="A64" s="149"/>
      <c r="B64" s="150"/>
      <c r="C64" s="150"/>
      <c r="D64" s="151"/>
      <c r="E64" s="152"/>
      <c r="F64" s="153"/>
    </row>
    <row r="65" spans="1:6" ht="15" x14ac:dyDescent="0.25">
      <c r="A65" s="149"/>
      <c r="B65" s="150"/>
      <c r="C65" s="150"/>
      <c r="D65" s="151"/>
      <c r="E65" s="152"/>
      <c r="F65" s="153"/>
    </row>
    <row r="66" spans="1:6" ht="15" x14ac:dyDescent="0.25">
      <c r="A66" s="149"/>
      <c r="B66" s="150"/>
      <c r="C66" s="150"/>
      <c r="D66" s="151"/>
      <c r="E66" s="152"/>
      <c r="F66" s="153"/>
    </row>
    <row r="67" spans="1:6" ht="15" x14ac:dyDescent="0.25">
      <c r="A67" s="149"/>
      <c r="B67" s="150"/>
      <c r="C67" s="150"/>
      <c r="D67" s="151"/>
      <c r="E67" s="152"/>
      <c r="F67" s="153"/>
    </row>
    <row r="68" spans="1:6" ht="15" x14ac:dyDescent="0.25">
      <c r="A68" s="149"/>
      <c r="B68" s="150"/>
      <c r="C68" s="150"/>
      <c r="D68" s="151"/>
      <c r="E68" s="152"/>
      <c r="F68" s="153"/>
    </row>
    <row r="69" spans="1:6" ht="15" x14ac:dyDescent="0.25">
      <c r="A69" s="149"/>
      <c r="B69" s="150"/>
      <c r="C69" s="150"/>
      <c r="D69" s="151"/>
      <c r="E69" s="152"/>
      <c r="F69" s="153"/>
    </row>
    <row r="70" spans="1:6" ht="15" x14ac:dyDescent="0.25">
      <c r="A70" s="149"/>
      <c r="B70" s="150"/>
      <c r="C70" s="150"/>
      <c r="D70" s="151"/>
      <c r="E70" s="152"/>
      <c r="F70" s="153"/>
    </row>
    <row r="71" spans="1:6" ht="15" x14ac:dyDescent="0.25">
      <c r="A71" s="149"/>
      <c r="B71" s="150"/>
      <c r="C71" s="150"/>
      <c r="D71" s="151"/>
      <c r="E71" s="152"/>
      <c r="F71" s="153"/>
    </row>
    <row r="72" spans="1:6" ht="15" x14ac:dyDescent="0.25">
      <c r="A72" s="149"/>
      <c r="B72" s="150"/>
      <c r="C72" s="150"/>
      <c r="D72" s="151"/>
      <c r="E72" s="152"/>
      <c r="F72" s="153"/>
    </row>
    <row r="73" spans="1:6" ht="15" x14ac:dyDescent="0.25">
      <c r="A73" s="149"/>
      <c r="B73" s="150"/>
      <c r="C73" s="150"/>
      <c r="D73" s="151"/>
      <c r="E73" s="152"/>
      <c r="F73" s="153"/>
    </row>
    <row r="74" spans="1:6" ht="15" x14ac:dyDescent="0.25">
      <c r="A74" s="149"/>
      <c r="B74" s="150"/>
      <c r="C74" s="150"/>
      <c r="D74" s="151"/>
      <c r="E74" s="152"/>
      <c r="F74" s="153"/>
    </row>
    <row r="75" spans="1:6" ht="15" x14ac:dyDescent="0.25">
      <c r="A75" s="149"/>
      <c r="B75" s="150"/>
      <c r="C75" s="150"/>
      <c r="D75" s="151"/>
      <c r="E75" s="152"/>
      <c r="F75" s="153"/>
    </row>
    <row r="76" spans="1:6" ht="15" x14ac:dyDescent="0.25">
      <c r="A76" s="149"/>
      <c r="B76" s="150"/>
      <c r="C76" s="150"/>
      <c r="D76" s="151"/>
      <c r="E76" s="152"/>
      <c r="F76" s="153"/>
    </row>
    <row r="77" spans="1:6" ht="15" x14ac:dyDescent="0.25">
      <c r="A77" s="149"/>
      <c r="B77" s="150"/>
      <c r="C77" s="150"/>
      <c r="D77" s="151"/>
      <c r="E77" s="152"/>
      <c r="F77" s="153"/>
    </row>
    <row r="78" spans="1:6" ht="15" x14ac:dyDescent="0.25">
      <c r="A78" s="149"/>
      <c r="B78" s="150"/>
      <c r="C78" s="150"/>
      <c r="D78" s="151"/>
      <c r="E78" s="152"/>
      <c r="F78" s="153"/>
    </row>
    <row r="79" spans="1:6" ht="15" x14ac:dyDescent="0.25">
      <c r="A79" s="149"/>
      <c r="B79" s="150"/>
      <c r="C79" s="150"/>
      <c r="D79" s="151"/>
      <c r="E79" s="152"/>
      <c r="F79" s="153"/>
    </row>
    <row r="80" spans="1:6" ht="15" x14ac:dyDescent="0.25">
      <c r="A80" s="149"/>
      <c r="B80" s="150"/>
      <c r="C80" s="150"/>
      <c r="D80" s="151"/>
      <c r="E80" s="152"/>
      <c r="F80" s="153"/>
    </row>
    <row r="81" spans="1:6" ht="15" x14ac:dyDescent="0.25">
      <c r="A81" s="149"/>
      <c r="B81" s="150"/>
      <c r="C81" s="150"/>
      <c r="D81" s="151"/>
      <c r="E81" s="152"/>
      <c r="F81" s="153"/>
    </row>
    <row r="82" spans="1:6" ht="15" x14ac:dyDescent="0.25">
      <c r="A82" s="149"/>
      <c r="B82" s="150"/>
      <c r="C82" s="150"/>
      <c r="D82" s="151"/>
      <c r="E82" s="152"/>
      <c r="F82" s="153"/>
    </row>
    <row r="83" spans="1:6" ht="15" x14ac:dyDescent="0.25">
      <c r="A83" s="149"/>
      <c r="B83" s="150"/>
      <c r="C83" s="150"/>
      <c r="D83" s="151"/>
      <c r="E83" s="152"/>
      <c r="F83" s="153"/>
    </row>
    <row r="84" spans="1:6" ht="15" x14ac:dyDescent="0.25">
      <c r="A84" s="149"/>
      <c r="B84" s="150"/>
      <c r="C84" s="150"/>
      <c r="D84" s="151"/>
      <c r="E84" s="152"/>
      <c r="F84" s="153"/>
    </row>
    <row r="85" spans="1:6" ht="15" x14ac:dyDescent="0.25">
      <c r="A85" s="149"/>
      <c r="B85" s="150"/>
      <c r="C85" s="150"/>
      <c r="D85" s="151"/>
      <c r="E85" s="152"/>
      <c r="F85" s="153"/>
    </row>
    <row r="86" spans="1:6" ht="15" x14ac:dyDescent="0.25">
      <c r="A86" s="149"/>
      <c r="B86" s="150"/>
      <c r="C86" s="150"/>
      <c r="D86" s="151"/>
      <c r="E86" s="152"/>
      <c r="F86" s="153"/>
    </row>
    <row r="87" spans="1:6" ht="15" x14ac:dyDescent="0.25">
      <c r="A87" s="149"/>
      <c r="B87" s="150"/>
      <c r="C87" s="150"/>
      <c r="D87" s="151"/>
      <c r="E87" s="152"/>
      <c r="F87" s="153"/>
    </row>
    <row r="88" spans="1:6" ht="15" x14ac:dyDescent="0.25">
      <c r="A88" s="149"/>
    </row>
    <row r="89" spans="1:6" ht="15" x14ac:dyDescent="0.25">
      <c r="A89" s="149"/>
    </row>
    <row r="90" spans="1:6" ht="15" x14ac:dyDescent="0.25">
      <c r="A90" s="149"/>
    </row>
    <row r="91" spans="1:6" ht="15" x14ac:dyDescent="0.25">
      <c r="A91" s="149"/>
    </row>
    <row r="92" spans="1:6" ht="15" x14ac:dyDescent="0.25">
      <c r="A92" s="149"/>
    </row>
    <row r="93" spans="1:6" ht="15" x14ac:dyDescent="0.25">
      <c r="A93" s="149"/>
    </row>
    <row r="94" spans="1:6" ht="15" x14ac:dyDescent="0.25">
      <c r="A94" s="149"/>
    </row>
    <row r="95" spans="1:6" ht="15" x14ac:dyDescent="0.25">
      <c r="A95" s="149"/>
    </row>
    <row r="96" spans="1:6" ht="15" x14ac:dyDescent="0.25">
      <c r="A96" s="149"/>
    </row>
    <row r="97" spans="1:1" ht="15" x14ac:dyDescent="0.25">
      <c r="A97" s="149"/>
    </row>
    <row r="98" spans="1:1" ht="15" x14ac:dyDescent="0.25">
      <c r="A98" s="149"/>
    </row>
    <row r="99" spans="1:1" ht="15" x14ac:dyDescent="0.25">
      <c r="A99" s="149"/>
    </row>
    <row r="100" spans="1:1" ht="15" x14ac:dyDescent="0.25">
      <c r="A100" s="149"/>
    </row>
    <row r="101" spans="1:1" ht="15" x14ac:dyDescent="0.25">
      <c r="A101" s="149"/>
    </row>
    <row r="102" spans="1:1" ht="15" x14ac:dyDescent="0.25">
      <c r="A102" s="149"/>
    </row>
    <row r="103" spans="1:1" ht="15" x14ac:dyDescent="0.25">
      <c r="A103" s="149"/>
    </row>
    <row r="104" spans="1:1" ht="15" x14ac:dyDescent="0.25">
      <c r="A104" s="149"/>
    </row>
    <row r="105" spans="1:1" ht="15" x14ac:dyDescent="0.25">
      <c r="A105" s="149"/>
    </row>
    <row r="106" spans="1:1" ht="15" x14ac:dyDescent="0.25">
      <c r="A106" s="149"/>
    </row>
    <row r="107" spans="1:1" ht="15" x14ac:dyDescent="0.25">
      <c r="A107" s="149"/>
    </row>
    <row r="108" spans="1:1" ht="15" x14ac:dyDescent="0.25">
      <c r="A108" s="149"/>
    </row>
    <row r="109" spans="1:1" ht="15" x14ac:dyDescent="0.25">
      <c r="A109" s="149"/>
    </row>
  </sheetData>
  <mergeCells count="7">
    <mergeCell ref="B3:B5"/>
    <mergeCell ref="F3:F5"/>
    <mergeCell ref="C3:C5"/>
    <mergeCell ref="D3:D5"/>
    <mergeCell ref="A1:F1"/>
    <mergeCell ref="E3:E5"/>
    <mergeCell ref="A3:A5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18CC7-D5A7-4BA6-A844-B0EB70347D2A}">
  <dimension ref="A1:F87"/>
  <sheetViews>
    <sheetView workbookViewId="0">
      <selection activeCell="F8" sqref="F8"/>
    </sheetView>
  </sheetViews>
  <sheetFormatPr defaultRowHeight="14.25" x14ac:dyDescent="0.2"/>
  <cols>
    <col min="1" max="1" width="9.28515625" style="109" bestFit="1" customWidth="1"/>
    <col min="2" max="2" width="10.28515625" style="109" bestFit="1" customWidth="1"/>
    <col min="3" max="3" width="9.28515625" style="109" bestFit="1" customWidth="1"/>
    <col min="4" max="4" width="12.7109375" style="109" bestFit="1" customWidth="1"/>
    <col min="5" max="5" width="9.28515625" style="109" bestFit="1" customWidth="1"/>
    <col min="6" max="6" width="11.28515625" style="109" customWidth="1"/>
    <col min="7" max="16384" width="9.140625" style="109"/>
  </cols>
  <sheetData>
    <row r="1" spans="1:6" x14ac:dyDescent="0.2">
      <c r="A1" s="214" t="s">
        <v>135</v>
      </c>
      <c r="B1" s="214"/>
      <c r="C1" s="214"/>
      <c r="D1" s="214"/>
      <c r="E1" s="214"/>
      <c r="F1" s="214"/>
    </row>
    <row r="2" spans="1:6" ht="15" x14ac:dyDescent="0.25">
      <c r="A2" s="147"/>
      <c r="B2" s="147"/>
      <c r="C2" s="147"/>
      <c r="D2" s="147"/>
      <c r="E2" s="147"/>
      <c r="F2" s="147"/>
    </row>
    <row r="3" spans="1:6" x14ac:dyDescent="0.2">
      <c r="A3" s="216" t="s">
        <v>44</v>
      </c>
      <c r="B3" s="213" t="s">
        <v>47</v>
      </c>
      <c r="C3" s="213" t="s">
        <v>19</v>
      </c>
      <c r="D3" s="213" t="s">
        <v>55</v>
      </c>
      <c r="E3" s="213" t="s">
        <v>66</v>
      </c>
      <c r="F3" s="213" t="s">
        <v>58</v>
      </c>
    </row>
    <row r="4" spans="1:6" ht="15" customHeight="1" x14ac:dyDescent="0.2">
      <c r="A4" s="216"/>
      <c r="B4" s="213"/>
      <c r="C4" s="213"/>
      <c r="D4" s="213"/>
      <c r="E4" s="213"/>
      <c r="F4" s="213"/>
    </row>
    <row r="5" spans="1:6" x14ac:dyDescent="0.2">
      <c r="A5" s="216"/>
      <c r="B5" s="213"/>
      <c r="C5" s="213"/>
      <c r="D5" s="213"/>
      <c r="E5" s="213"/>
      <c r="F5" s="213"/>
    </row>
    <row r="6" spans="1:6" ht="15" x14ac:dyDescent="0.25">
      <c r="A6" s="147"/>
      <c r="B6" s="147"/>
      <c r="C6" s="147"/>
      <c r="D6" s="147"/>
      <c r="E6" s="148" t="s">
        <v>43</v>
      </c>
      <c r="F6" s="148" t="s">
        <v>43</v>
      </c>
    </row>
    <row r="7" spans="1:6" ht="15" x14ac:dyDescent="0.25">
      <c r="A7" s="149">
        <f>'Energy Benefit'!A7</f>
        <v>2022</v>
      </c>
      <c r="B7" s="150">
        <v>0</v>
      </c>
      <c r="C7" s="150">
        <f>B7/(1+'Levelized PV Rev Rqmt'!$H$1)^('Levelized PV Rev Rqmt'!B10-'Levelized PV Rev Rqmt'!$H$2)</f>
        <v>0</v>
      </c>
      <c r="D7" s="151">
        <f>C7</f>
        <v>0</v>
      </c>
      <c r="E7" s="152">
        <f>B7/'Generation plant Input'!$D$5/10000</f>
        <v>0</v>
      </c>
      <c r="F7" s="153">
        <v>0</v>
      </c>
    </row>
    <row r="8" spans="1:6" ht="15" x14ac:dyDescent="0.25">
      <c r="A8" s="149">
        <f>'Energy Benefit'!A8</f>
        <v>2023</v>
      </c>
      <c r="B8" s="150">
        <f>'Generation plant Input'!D13*'Avoided Supply Costs'!P11*1000</f>
        <v>293193.58966832759</v>
      </c>
      <c r="C8" s="150">
        <f>B8/(1+'Levelized PV Rev Rqmt'!$H$1)^('Levelized PV Rev Rqmt'!B11-'Levelized PV Rev Rqmt'!$H$2)</f>
        <v>277094.4047522234</v>
      </c>
      <c r="D8" s="151">
        <f t="shared" ref="D8:D71" si="0">C8+D7</f>
        <v>277094.4047522234</v>
      </c>
      <c r="E8" s="152">
        <f>B8/'Generation plant Input'!$D$5/10000</f>
        <v>1.0642235559648914</v>
      </c>
      <c r="F8" s="153">
        <f>-(PMT('Levelized PV Rev Rqmt'!$H$1,18.1,D26))*100/('Generation plant Input'!$D$7*1000000)*(1+'Levelized PV Rev Rqmt'!$H$1)</f>
        <v>3.9197120311788796</v>
      </c>
    </row>
    <row r="9" spans="1:6" ht="15" x14ac:dyDescent="0.25">
      <c r="A9" s="149">
        <f>'Energy Benefit'!A9</f>
        <v>2024</v>
      </c>
      <c r="B9" s="150">
        <f>'Generation plant Input'!$D$5*'Avoided Supply Costs'!P12*1000</f>
        <v>915858.24615959753</v>
      </c>
      <c r="C9" s="150">
        <f>B9/(1+'Levelized PV Rev Rqmt'!$H$1)^('Levelized PV Rev Rqmt'!B12-'Levelized PV Rev Rqmt'!$H$2)</f>
        <v>818040.54856071528</v>
      </c>
      <c r="D9" s="151">
        <f t="shared" si="0"/>
        <v>1095134.9533129386</v>
      </c>
      <c r="E9" s="152">
        <f>B9/'Generation plant Input'!$D$5/10000</f>
        <v>3.3243493508515334</v>
      </c>
      <c r="F9" s="153">
        <f t="shared" ref="F9:F72" si="1">F8</f>
        <v>3.9197120311788796</v>
      </c>
    </row>
    <row r="10" spans="1:6" ht="15" x14ac:dyDescent="0.25">
      <c r="A10" s="149">
        <f>'Energy Benefit'!A10</f>
        <v>2025</v>
      </c>
      <c r="B10" s="150">
        <f>'Generation plant Input'!$D$5*'Avoided Supply Costs'!P13*1000</f>
        <v>936239.57927006157</v>
      </c>
      <c r="C10" s="150">
        <f>B10/(1+'Levelized PV Rev Rqmt'!$H$1)^('Levelized PV Rev Rqmt'!B13-'Levelized PV Rev Rqmt'!$H$2)</f>
        <v>790327.06309269927</v>
      </c>
      <c r="D10" s="151">
        <f t="shared" si="0"/>
        <v>1885462.0164056378</v>
      </c>
      <c r="E10" s="152">
        <f>B10/'Generation plant Input'!$D$5/10000</f>
        <v>3.3983287813795338</v>
      </c>
      <c r="F10" s="153">
        <f t="shared" si="1"/>
        <v>3.9197120311788796</v>
      </c>
    </row>
    <row r="11" spans="1:6" ht="15" x14ac:dyDescent="0.25">
      <c r="A11" s="149">
        <f>'Energy Benefit'!A11</f>
        <v>2026</v>
      </c>
      <c r="B11" s="150">
        <f>'Generation plant Input'!$D$5*'Avoided Supply Costs'!P14*1000</f>
        <v>957079.80408811371</v>
      </c>
      <c r="C11" s="150">
        <f>B11/(1+'Levelized PV Rev Rqmt'!$H$1)^('Levelized PV Rev Rqmt'!B14-'Levelized PV Rev Rqmt'!$H$2)</f>
        <v>763556.70378222631</v>
      </c>
      <c r="D11" s="151">
        <f t="shared" si="0"/>
        <v>2649018.7201878643</v>
      </c>
      <c r="E11" s="152">
        <f>B11/'Generation plant Input'!$D$5/10000</f>
        <v>3.4739738805376175</v>
      </c>
      <c r="F11" s="153">
        <f t="shared" si="1"/>
        <v>3.9197120311788796</v>
      </c>
    </row>
    <row r="12" spans="1:6" ht="15" x14ac:dyDescent="0.25">
      <c r="A12" s="149">
        <f>'Energy Benefit'!A12</f>
        <v>2027</v>
      </c>
      <c r="B12" s="150">
        <f>'Generation plant Input'!$D$5*'Avoided Supply Costs'!P15*1000</f>
        <v>978389.37551725039</v>
      </c>
      <c r="C12" s="150">
        <f>B12/(1+'Levelized PV Rev Rqmt'!$H$1)^('Levelized PV Rev Rqmt'!B15-'Levelized PV Rev Rqmt'!$H$2)</f>
        <v>737697.23565581616</v>
      </c>
      <c r="D12" s="151">
        <f t="shared" si="0"/>
        <v>3386715.9558436805</v>
      </c>
      <c r="E12" s="152">
        <f>B12/'Generation plant Input'!$D$5/10000</f>
        <v>3.5513225971588036</v>
      </c>
      <c r="F12" s="153">
        <f t="shared" si="1"/>
        <v>3.9197120311788796</v>
      </c>
    </row>
    <row r="13" spans="1:6" ht="15" x14ac:dyDescent="0.25">
      <c r="A13" s="149">
        <f>'Energy Benefit'!A13</f>
        <v>2028</v>
      </c>
      <c r="B13" s="150">
        <f>'Generation plant Input'!$D$5*'Avoided Supply Costs'!P16*1000</f>
        <v>1000178.989465817</v>
      </c>
      <c r="C13" s="150">
        <f>B13/(1+'Levelized PV Rev Rqmt'!$H$1)^('Levelized PV Rev Rqmt'!B16-'Levelized PV Rev Rqmt'!$H$2)</f>
        <v>712717.53003818844</v>
      </c>
      <c r="D13" s="151">
        <f t="shared" si="0"/>
        <v>4099433.4858818687</v>
      </c>
      <c r="E13" s="152">
        <f>B13/'Generation plant Input'!$D$5/10000</f>
        <v>3.6304137548668494</v>
      </c>
      <c r="F13" s="153">
        <f t="shared" si="1"/>
        <v>3.9197120311788796</v>
      </c>
    </row>
    <row r="14" spans="1:6" ht="15" x14ac:dyDescent="0.25">
      <c r="A14" s="149">
        <f>'Energy Benefit'!A14</f>
        <v>2029</v>
      </c>
      <c r="B14" s="150">
        <f>'Generation plant Input'!$D$5*'Avoided Supply Costs'!P17*1000</f>
        <v>1022459.5884664773</v>
      </c>
      <c r="C14" s="150">
        <f>B14/(1+'Levelized PV Rev Rqmt'!$H$1)^('Levelized PV Rev Rqmt'!B17-'Levelized PV Rev Rqmt'!$H$2)</f>
        <v>688587.52643624379</v>
      </c>
      <c r="D14" s="151">
        <f t="shared" si="0"/>
        <v>4788021.0123181129</v>
      </c>
      <c r="E14" s="152">
        <f>B14/'Generation plant Input'!$D$5/10000</f>
        <v>3.7112870724736022</v>
      </c>
      <c r="F14" s="153">
        <f t="shared" si="1"/>
        <v>3.9197120311788796</v>
      </c>
    </row>
    <row r="15" spans="1:6" ht="15" x14ac:dyDescent="0.25">
      <c r="A15" s="149">
        <f>'Energy Benefit'!A15</f>
        <v>2030</v>
      </c>
      <c r="B15" s="150">
        <f>'Generation plant Input'!$D$5*'Avoided Supply Costs'!P18*1000</f>
        <v>1040202.0486620184</v>
      </c>
      <c r="C15" s="150">
        <f>B15/(1+'Levelized PV Rev Rqmt'!$H$1)^('Levelized PV Rev Rqmt'!B18-'Levelized PV Rev Rqmt'!$H$2)</f>
        <v>662070.12239927589</v>
      </c>
      <c r="D15" s="151">
        <f t="shared" si="0"/>
        <v>5450091.134717389</v>
      </c>
      <c r="E15" s="152">
        <f>B15/'Generation plant Input'!$D$5/10000</f>
        <v>3.775688016922027</v>
      </c>
      <c r="F15" s="153">
        <f t="shared" si="1"/>
        <v>3.9197120311788796</v>
      </c>
    </row>
    <row r="16" spans="1:6" ht="15" x14ac:dyDescent="0.25">
      <c r="A16" s="149">
        <f>'Energy Benefit'!A16</f>
        <v>2031</v>
      </c>
      <c r="B16" s="150">
        <f>'Generation plant Input'!$D$5*'Avoided Supply Costs'!P19*1000</f>
        <v>1058392.2455700401</v>
      </c>
      <c r="C16" s="150">
        <f>B16/(1+'Levelized PV Rev Rqmt'!$H$1)^('Levelized PV Rev Rqmt'!B19-'Levelized PV Rev Rqmt'!$H$2)</f>
        <v>636658.02810762858</v>
      </c>
      <c r="D16" s="151">
        <f t="shared" si="0"/>
        <v>6086749.1628250172</v>
      </c>
      <c r="E16" s="152">
        <f>B16/'Generation plant Input'!$D$5/10000</f>
        <v>3.8417141400001458</v>
      </c>
      <c r="F16" s="153">
        <f t="shared" si="1"/>
        <v>3.9197120311788796</v>
      </c>
    </row>
    <row r="17" spans="1:6" ht="15" x14ac:dyDescent="0.25">
      <c r="A17" s="149">
        <f>'Energy Benefit'!A17</f>
        <v>2032</v>
      </c>
      <c r="B17" s="150">
        <f>'Generation plant Input'!$D$5*'Avoided Supply Costs'!P20*1000</f>
        <v>1076752.3468795209</v>
      </c>
      <c r="C17" s="150">
        <f>B17/(1+'Levelized PV Rev Rqmt'!$H$1)^('Levelized PV Rev Rqmt'!B20-'Levelized PV Rev Rqmt'!$H$2)</f>
        <v>612137.07381038368</v>
      </c>
      <c r="D17" s="151">
        <f t="shared" si="0"/>
        <v>6698886.2366354009</v>
      </c>
      <c r="E17" s="152">
        <f>B17/'Generation plant Input'!$D$5/10000</f>
        <v>3.9083569759692227</v>
      </c>
      <c r="F17" s="153">
        <f t="shared" si="1"/>
        <v>3.9197120311788796</v>
      </c>
    </row>
    <row r="18" spans="1:6" ht="15" x14ac:dyDescent="0.25">
      <c r="A18" s="149">
        <f>'Energy Benefit'!A18</f>
        <v>2033</v>
      </c>
      <c r="B18" s="150">
        <f>'Generation plant Input'!$D$5*'Avoided Supply Costs'!P21*1000</f>
        <v>1095348.9628387601</v>
      </c>
      <c r="C18" s="150">
        <f>B18/(1+'Levelized PV Rev Rqmt'!$H$1)^('Levelized PV Rev Rqmt'!B21-'Levelized PV Rev Rqmt'!$H$2)</f>
        <v>588516.49947402079</v>
      </c>
      <c r="D18" s="151">
        <f t="shared" si="0"/>
        <v>7287402.7361094216</v>
      </c>
      <c r="E18" s="152">
        <f>B18/'Generation plant Input'!$D$5/10000</f>
        <v>3.9758583043149187</v>
      </c>
      <c r="F18" s="153">
        <f t="shared" si="1"/>
        <v>3.9197120311788796</v>
      </c>
    </row>
    <row r="19" spans="1:6" ht="15" x14ac:dyDescent="0.25">
      <c r="A19" s="149">
        <f>'Energy Benefit'!A19</f>
        <v>2034</v>
      </c>
      <c r="B19" s="150">
        <f>'Generation plant Input'!$D$5*'Avoided Supply Costs'!P22*1000</f>
        <v>1114205.4553029584</v>
      </c>
      <c r="C19" s="150">
        <f>B19/(1+'Levelized PV Rev Rqmt'!$H$1)^('Levelized PV Rev Rqmt'!B22-'Levelized PV Rev Rqmt'!$H$2)</f>
        <v>565776.24353719549</v>
      </c>
      <c r="D19" s="151">
        <f t="shared" si="0"/>
        <v>7853178.9796466175</v>
      </c>
      <c r="E19" s="152">
        <f>B19/'Generation plant Input'!$D$5/10000</f>
        <v>4.0443029230597398</v>
      </c>
      <c r="F19" s="153">
        <f t="shared" si="1"/>
        <v>3.9197120311788796</v>
      </c>
    </row>
    <row r="20" spans="1:6" ht="15" x14ac:dyDescent="0.25">
      <c r="A20" s="149">
        <f>'Energy Benefit'!A20</f>
        <v>2035</v>
      </c>
      <c r="B20" s="150">
        <f>'Generation plant Input'!$D$5*'Avoided Supply Costs'!P23*1000</f>
        <v>1133325.2995894179</v>
      </c>
      <c r="C20" s="150">
        <f>B20/(1+'Levelized PV Rev Rqmt'!$H$1)^('Levelized PV Rev Rqmt'!B23-'Levelized PV Rev Rqmt'!$H$2)</f>
        <v>543885.26965830883</v>
      </c>
      <c r="D20" s="151">
        <f t="shared" si="0"/>
        <v>8397064.249304926</v>
      </c>
      <c r="E20" s="152">
        <f>B20/'Generation plant Input'!$D$5/10000</f>
        <v>4.1137034467855456</v>
      </c>
      <c r="F20" s="153">
        <f t="shared" si="1"/>
        <v>3.9197120311788796</v>
      </c>
    </row>
    <row r="21" spans="1:6" ht="15" x14ac:dyDescent="0.25">
      <c r="A21" s="149">
        <f>'Energy Benefit'!A21</f>
        <v>2036</v>
      </c>
      <c r="B21" s="150">
        <f>'Generation plant Input'!$D$5*'Avoided Supply Costs'!P24*1000</f>
        <v>1152881.2961973501</v>
      </c>
      <c r="C21" s="150">
        <f>B21/(1+'Levelized PV Rev Rqmt'!$H$1)^('Levelized PV Rev Rqmt'!B24-'Levelized PV Rev Rqmt'!$H$2)</f>
        <v>522890.30795852095</v>
      </c>
      <c r="D21" s="151">
        <f t="shared" si="0"/>
        <v>8919954.557263447</v>
      </c>
      <c r="E21" s="152">
        <f>B21/'Generation plant Input'!$D$5/10000</f>
        <v>4.1846871005348465</v>
      </c>
      <c r="F21" s="153">
        <f t="shared" si="1"/>
        <v>3.9197120311788796</v>
      </c>
    </row>
    <row r="22" spans="1:6" ht="15" x14ac:dyDescent="0.25">
      <c r="A22" s="149">
        <f>'Energy Benefit'!A22</f>
        <v>2037</v>
      </c>
      <c r="B22" s="150">
        <f>'Generation plant Input'!$D$5*'Avoided Supply Costs'!P25*1000</f>
        <v>1172545.9930075794</v>
      </c>
      <c r="C22" s="150">
        <f>B22/(1+'Levelized PV Rev Rqmt'!$H$1)^('Levelized PV Rev Rqmt'!B25-'Levelized PV Rev Rqmt'!$H$2)</f>
        <v>502607.73857549985</v>
      </c>
      <c r="D22" s="151">
        <f t="shared" si="0"/>
        <v>9422562.2958389465</v>
      </c>
      <c r="E22" s="152">
        <f>B22/'Generation plant Input'!$D$5/10000</f>
        <v>4.2560653103723389</v>
      </c>
      <c r="F22" s="153">
        <f t="shared" si="1"/>
        <v>3.9197120311788796</v>
      </c>
    </row>
    <row r="23" spans="1:6" ht="15" x14ac:dyDescent="0.25">
      <c r="A23" s="149">
        <f>'Energy Benefit'!A23</f>
        <v>2038</v>
      </c>
      <c r="B23" s="150">
        <f>'Generation plant Input'!$D$5*'Avoided Supply Costs'!P26*1000</f>
        <v>1192681.9814586737</v>
      </c>
      <c r="C23" s="150">
        <f>B23/(1+'Levelized PV Rev Rqmt'!$H$1)^('Levelized PV Rev Rqmt'!B26-'Levelized PV Rev Rqmt'!$H$2)</f>
        <v>483166.95926044107</v>
      </c>
      <c r="D23" s="151">
        <f t="shared" si="0"/>
        <v>9905729.2550993878</v>
      </c>
      <c r="E23" s="152">
        <f>B23/'Generation plant Input'!$D$5/10000</f>
        <v>4.3291541976721364</v>
      </c>
      <c r="F23" s="153">
        <f t="shared" si="1"/>
        <v>3.9197120311788796</v>
      </c>
    </row>
    <row r="24" spans="1:6" ht="15" x14ac:dyDescent="0.25">
      <c r="A24" s="149">
        <f>'Energy Benefit'!A24</f>
        <v>2039</v>
      </c>
      <c r="B24" s="150">
        <f>'Generation plant Input'!$D$5*'Avoided Supply Costs'!P27*1000</f>
        <v>1212936.5168444226</v>
      </c>
      <c r="C24" s="150">
        <f>B24/(1+'Levelized PV Rev Rqmt'!$H$1)^('Levelized PV Rev Rqmt'!B27-'Levelized PV Rev Rqmt'!$H$2)</f>
        <v>464391.14133643213</v>
      </c>
      <c r="D24" s="151">
        <f t="shared" si="0"/>
        <v>10370120.39643582</v>
      </c>
      <c r="E24" s="152">
        <f>B24/'Generation plant Input'!$D$5/10000</f>
        <v>4.4026733823753998</v>
      </c>
      <c r="F24" s="153">
        <f t="shared" si="1"/>
        <v>3.9197120311788796</v>
      </c>
    </row>
    <row r="25" spans="1:6" ht="15" x14ac:dyDescent="0.25">
      <c r="A25" s="149">
        <f>'Energy Benefit'!A25</f>
        <v>2040</v>
      </c>
      <c r="B25" s="150">
        <f>'Generation plant Input'!$D$5*'Avoided Supply Costs'!P28*1000</f>
        <v>1233748.2614376834</v>
      </c>
      <c r="C25" s="150">
        <f>B25/(1+'Levelized PV Rev Rqmt'!$H$1)^('Levelized PV Rev Rqmt'!B28-'Levelized PV Rev Rqmt'!$H$2)</f>
        <v>446422.10886768642</v>
      </c>
      <c r="D25" s="151">
        <f t="shared" si="0"/>
        <v>10816542.505303506</v>
      </c>
      <c r="E25" s="152">
        <f>B25/'Generation plant Input'!$D$5/10000</f>
        <v>4.4782151050369636</v>
      </c>
      <c r="F25" s="153">
        <f t="shared" si="1"/>
        <v>3.9197120311788796</v>
      </c>
    </row>
    <row r="26" spans="1:6" ht="15" x14ac:dyDescent="0.25">
      <c r="A26" s="149">
        <f>'Energy Benefit'!A26</f>
        <v>2041</v>
      </c>
      <c r="B26" s="150">
        <f>'Generation plant Input'!$D$5*'Avoided Supply Costs'!P29*1000</f>
        <v>1254876.3881670805</v>
      </c>
      <c r="C26" s="150">
        <f>B26/(1+'Levelized PV Rev Rqmt'!$H$1)^('Levelized PV Rev Rqmt'!B29-'Levelized PV Rev Rqmt'!$H$2)</f>
        <v>429134.44421012269</v>
      </c>
      <c r="D26" s="151">
        <f t="shared" si="0"/>
        <v>11245676.949513629</v>
      </c>
      <c r="E26" s="152">
        <f>B26/'Generation plant Input'!$D$5/10000</f>
        <v>4.5549052202071882</v>
      </c>
      <c r="F26" s="153">
        <f t="shared" si="1"/>
        <v>3.9197120311788796</v>
      </c>
    </row>
    <row r="27" spans="1:6" ht="15" x14ac:dyDescent="0.25">
      <c r="A27" s="149">
        <f>'Energy Benefit'!A27</f>
        <v>0</v>
      </c>
      <c r="B27" s="150">
        <f>'Generation plant Input'!$D$5*'Avoided Supply Costs'!P30*1000</f>
        <v>1276366.337282005</v>
      </c>
      <c r="C27" s="150">
        <f>B27/(1+'Levelized PV Rev Rqmt'!$H$1)^('Levelized PV Rev Rqmt'!B30-'Levelized PV Rev Rqmt'!$H$2)</f>
        <v>412516.24314626504</v>
      </c>
      <c r="D27" s="151">
        <f t="shared" si="0"/>
        <v>11658193.192659894</v>
      </c>
      <c r="E27" s="152">
        <f>B27/'Generation plant Input'!$D$5/10000</f>
        <v>4.6329086652704357</v>
      </c>
      <c r="F27" s="153">
        <f t="shared" si="1"/>
        <v>3.9197120311788796</v>
      </c>
    </row>
    <row r="28" spans="1:6" ht="15" x14ac:dyDescent="0.25">
      <c r="A28" s="149">
        <f>'Energy Benefit'!A28</f>
        <v>0</v>
      </c>
      <c r="B28" s="150">
        <f>'Generation plant Input'!$D$5*'Avoided Supply Costs'!P31*1000</f>
        <v>1298224.3050458711</v>
      </c>
      <c r="C28" s="150">
        <f>B28/(1+'Levelized PV Rev Rqmt'!$H$1)^('Levelized PV Rev Rqmt'!B31-'Levelized PV Rev Rqmt'!$H$2)</f>
        <v>396541.5807456976</v>
      </c>
      <c r="D28" s="151">
        <f t="shared" si="0"/>
        <v>12054734.773405591</v>
      </c>
      <c r="E28" s="152">
        <f>B28/'Generation plant Input'!$D$5/10000</f>
        <v>4.7122479312009844</v>
      </c>
      <c r="F28" s="153">
        <f t="shared" si="1"/>
        <v>3.9197120311788796</v>
      </c>
    </row>
    <row r="29" spans="1:6" ht="15" x14ac:dyDescent="0.25">
      <c r="A29" s="149">
        <f>'Energy Benefit'!A29</f>
        <v>0</v>
      </c>
      <c r="B29" s="150">
        <f>'Generation plant Input'!$D$5*'Avoided Supply Costs'!P32*1000</f>
        <v>1320456.5938340472</v>
      </c>
      <c r="C29" s="150">
        <f>B29/(1+'Levelized PV Rev Rqmt'!$H$1)^('Levelized PV Rev Rqmt'!B32-'Levelized PV Rev Rqmt'!$H$2)</f>
        <v>381185.53601910535</v>
      </c>
      <c r="D29" s="151">
        <f t="shared" si="0"/>
        <v>12435920.309424696</v>
      </c>
      <c r="E29" s="152">
        <f>B29/'Generation plant Input'!$D$5/10000</f>
        <v>4.7929458941344727</v>
      </c>
      <c r="F29" s="153">
        <f t="shared" si="1"/>
        <v>3.9197120311788796</v>
      </c>
    </row>
    <row r="30" spans="1:6" ht="15" x14ac:dyDescent="0.25">
      <c r="A30" s="149">
        <f>'Energy Benefit'!A30</f>
        <v>0</v>
      </c>
      <c r="B30" s="150">
        <f>'Generation plant Input'!$D$5*'Avoided Supply Costs'!P33*1000</f>
        <v>1343069.613951039</v>
      </c>
      <c r="C30" s="150">
        <f>B30/(1+'Levelized PV Rev Rqmt'!$H$1)^('Levelized PV Rev Rqmt'!B33-'Levelized PV Rev Rqmt'!$H$2)</f>
        <v>366424.15304072539</v>
      </c>
      <c r="D30" s="151">
        <f t="shared" si="0"/>
        <v>12802344.462465422</v>
      </c>
      <c r="E30" s="152">
        <f>B30/'Generation plant Input'!$D$5/10000</f>
        <v>4.8750258219638436</v>
      </c>
      <c r="F30" s="153">
        <f t="shared" si="1"/>
        <v>3.9197120311788796</v>
      </c>
    </row>
    <row r="31" spans="1:6" ht="15" x14ac:dyDescent="0.25">
      <c r="A31" s="149">
        <f>'Energy Benefit'!A31</f>
        <v>0</v>
      </c>
      <c r="B31" s="150">
        <f>'Generation plant Input'!$D$5*'Avoided Supply Costs'!P34*1000</f>
        <v>1366069.8854787922</v>
      </c>
      <c r="C31" s="150">
        <f>B31/(1+'Levelized PV Rev Rqmt'!$H$1)^('Levelized PV Rev Rqmt'!B34-'Levelized PV Rev Rqmt'!$H$2)</f>
        <v>352234.40357632923</v>
      </c>
      <c r="D31" s="151">
        <f t="shared" si="0"/>
        <v>13154578.866041752</v>
      </c>
      <c r="E31" s="152">
        <f>B31/'Generation plant Input'!$D$5/10000</f>
        <v>4.9585113810482477</v>
      </c>
      <c r="F31" s="153">
        <f t="shared" si="1"/>
        <v>3.9197120311788796</v>
      </c>
    </row>
    <row r="32" spans="1:6" ht="15" x14ac:dyDescent="0.25">
      <c r="A32" s="149">
        <f>'Energy Benefit'!A32</f>
        <v>0</v>
      </c>
      <c r="B32" s="150">
        <f>'Generation plant Input'!$D$5*'Avoided Supply Costs'!P35*1000</f>
        <v>1389464.0401566485</v>
      </c>
      <c r="C32" s="150">
        <f>B32/(1+'Levelized PV Rev Rqmt'!$H$1)^('Levelized PV Rev Rqmt'!B35-'Levelized PV Rev Rqmt'!$H$2)</f>
        <v>338594.15115843358</v>
      </c>
      <c r="D32" s="151">
        <f t="shared" si="0"/>
        <v>13493173.017200185</v>
      </c>
      <c r="E32" s="152">
        <f>B32/'Generation plant Input'!$D$5/10000</f>
        <v>5.0434266430368364</v>
      </c>
      <c r="F32" s="153">
        <f t="shared" si="1"/>
        <v>3.9197120311788796</v>
      </c>
    </row>
    <row r="33" spans="1:6" ht="15" x14ac:dyDescent="0.25">
      <c r="A33" s="149">
        <f>'Energy Benefit'!A33</f>
        <v>0</v>
      </c>
      <c r="B33" s="150">
        <f>'Generation plant Input'!$D$5*'Avoided Supply Costs'!P36*1000</f>
        <v>1413258.8232934938</v>
      </c>
      <c r="C33" s="150">
        <f>B33/(1+'Levelized PV Rev Rqmt'!$H$1)^('Levelized PV Rev Rqmt'!B36-'Levelized PV Rev Rqmt'!$H$2)</f>
        <v>325482.1165526961</v>
      </c>
      <c r="D33" s="151">
        <f t="shared" si="0"/>
        <v>13818655.133752881</v>
      </c>
      <c r="E33" s="152">
        <f>B33/'Generation plant Input'!$D$5/10000</f>
        <v>5.129796091809415</v>
      </c>
      <c r="F33" s="153">
        <f t="shared" si="1"/>
        <v>3.9197120311788796</v>
      </c>
    </row>
    <row r="34" spans="1:6" ht="15" x14ac:dyDescent="0.25">
      <c r="A34" s="149">
        <f>'Energy Benefit'!A34</f>
        <v>0</v>
      </c>
      <c r="B34" s="150">
        <f>'Generation plant Input'!$D$5*'Avoided Supply Costs'!P37*1000</f>
        <v>1437461.0957126571</v>
      </c>
      <c r="C34" s="150">
        <f>B34/(1+'Levelized PV Rev Rqmt'!$H$1)^('Levelized PV Rev Rqmt'!B37-'Levelized PV Rev Rqmt'!$H$2)</f>
        <v>312877.84456162225</v>
      </c>
      <c r="D34" s="151">
        <f t="shared" si="0"/>
        <v>14131532.978314502</v>
      </c>
      <c r="E34" s="152">
        <f>B34/'Generation plant Input'!$D$5/10000</f>
        <v>5.2176446305359603</v>
      </c>
      <c r="F34" s="153">
        <f t="shared" si="1"/>
        <v>3.9197120311788796</v>
      </c>
    </row>
    <row r="35" spans="1:6" ht="15" x14ac:dyDescent="0.25">
      <c r="A35" s="149">
        <f>'Energy Benefit'!A35</f>
        <v>0</v>
      </c>
      <c r="B35" s="150">
        <f>'Generation plant Input'!$D$5*'Avoided Supply Costs'!P38*1000</f>
        <v>1462077.8357301096</v>
      </c>
      <c r="C35" s="150">
        <f>B35/(1+'Levelized PV Rev Rqmt'!$H$1)^('Levelized PV Rev Rqmt'!B38-'Levelized PV Rev Rqmt'!$H$2)</f>
        <v>300761.67211379716</v>
      </c>
      <c r="D35" s="151">
        <f t="shared" si="0"/>
        <v>14432294.650428299</v>
      </c>
      <c r="E35" s="152">
        <f>B35/'Generation plant Input'!$D$5/10000</f>
        <v>5.3069975888570218</v>
      </c>
      <c r="F35" s="153">
        <f t="shared" si="1"/>
        <v>3.9197120311788796</v>
      </c>
    </row>
    <row r="36" spans="1:6" ht="15" x14ac:dyDescent="0.25">
      <c r="A36" s="149">
        <f>'Energy Benefit'!A36</f>
        <v>0</v>
      </c>
      <c r="B36" s="150">
        <f>'Generation plant Input'!$D$5*'Avoided Supply Costs'!P39*1000</f>
        <v>1487116.1411665457</v>
      </c>
      <c r="C36" s="150">
        <f>B36/(1+'Levelized PV Rev Rqmt'!$H$1)^('Levelized PV Rev Rqmt'!B39-'Levelized PV Rev Rqmt'!$H$2)</f>
        <v>289114.69758885825</v>
      </c>
      <c r="D36" s="151">
        <f t="shared" si="0"/>
        <v>14721409.348017158</v>
      </c>
      <c r="E36" s="152">
        <f>B36/'Generation plant Input'!$D$5/10000</f>
        <v>5.3978807301870981</v>
      </c>
      <c r="F36" s="153">
        <f t="shared" si="1"/>
        <v>3.9197120311788796</v>
      </c>
    </row>
    <row r="37" spans="1:6" ht="15" x14ac:dyDescent="0.25">
      <c r="A37" s="149">
        <f>'Energy Benefit'!A37</f>
        <v>0</v>
      </c>
      <c r="B37" s="150">
        <f>'Generation plant Input'!$D$5*'Avoided Supply Costs'!P40*1000</f>
        <v>1512583.2313939196</v>
      </c>
      <c r="C37" s="150">
        <f>B37/(1+'Levelized PV Rev Rqmt'!$H$1)^('Levelized PV Rev Rqmt'!B40-'Levelized PV Rev Rqmt'!$H$2)</f>
        <v>277918.75133035769</v>
      </c>
      <c r="D37" s="151">
        <f t="shared" si="0"/>
        <v>14999328.099347515</v>
      </c>
      <c r="E37" s="152">
        <f>B37/'Generation plant Input'!$D$5/10000</f>
        <v>5.4903202591430835</v>
      </c>
      <c r="F37" s="153">
        <f t="shared" si="1"/>
        <v>3.9197120311788796</v>
      </c>
    </row>
    <row r="38" spans="1:6" ht="15" x14ac:dyDescent="0.25">
      <c r="A38" s="149">
        <f>'Energy Benefit'!A38</f>
        <v>0</v>
      </c>
      <c r="B38" s="150">
        <f>'Generation plant Input'!$D$5*'Avoided Supply Costs'!P41*1000</f>
        <v>1538486.4494170286</v>
      </c>
      <c r="C38" s="150">
        <f>B38/(1+'Levelized PV Rev Rqmt'!$H$1)^('Levelized PV Rev Rqmt'!B41-'Levelized PV Rev Rqmt'!$H$2)</f>
        <v>267156.36730051105</v>
      </c>
      <c r="D38" s="151">
        <f t="shared" si="0"/>
        <v>15266484.466648025</v>
      </c>
      <c r="E38" s="152">
        <f>B38/'Generation plant Input'!$D$5/10000</f>
        <v>5.5843428290999215</v>
      </c>
      <c r="F38" s="153">
        <f t="shared" si="1"/>
        <v>3.9197120311788796</v>
      </c>
    </row>
    <row r="39" spans="1:6" ht="15" x14ac:dyDescent="0.25">
      <c r="A39" s="149">
        <f>'Energy Benefit'!A39</f>
        <v>0</v>
      </c>
      <c r="B39" s="150">
        <f>'Generation plant Input'!$D$5*'Avoided Supply Costs'!P42*1000</f>
        <v>1564833.2639907447</v>
      </c>
      <c r="C39" s="150">
        <f>B39/(1+'Levelized PV Rev Rqmt'!$H$1)^('Levelized PV Rev Rqmt'!B42-'Levelized PV Rev Rqmt'!$H$2)</f>
        <v>256810.75583261438</v>
      </c>
      <c r="D39" s="151">
        <f t="shared" si="0"/>
        <v>15523295.22248064</v>
      </c>
      <c r="E39" s="152">
        <f>B39/'Generation plant Input'!$D$5/10000</f>
        <v>5.6799755498756612</v>
      </c>
      <c r="F39" s="153">
        <f t="shared" si="1"/>
        <v>3.9197120311788796</v>
      </c>
    </row>
    <row r="40" spans="1:6" ht="15" x14ac:dyDescent="0.25">
      <c r="A40" s="149">
        <f>'Energy Benefit'!A40</f>
        <v>0</v>
      </c>
      <c r="B40" s="150">
        <f>'Generation plant Input'!$D$5*'Avoided Supply Costs'!P43*1000</f>
        <v>1591631.2717735039</v>
      </c>
      <c r="C40" s="150">
        <f>B40/(1+'Levelized PV Rev Rqmt'!$H$1)^('Levelized PV Rev Rqmt'!B43-'Levelized PV Rev Rqmt'!$H$2)</f>
        <v>246865.77743862185</v>
      </c>
      <c r="D40" s="151">
        <f t="shared" si="0"/>
        <v>15770160.999919262</v>
      </c>
      <c r="E40" s="152">
        <f>B40/'Generation plant Input'!$D$5/10000</f>
        <v>5.7772459955481086</v>
      </c>
      <c r="F40" s="153">
        <f t="shared" si="1"/>
        <v>3.9197120311788796</v>
      </c>
    </row>
    <row r="41" spans="1:6" ht="15" x14ac:dyDescent="0.25">
      <c r="A41" s="149">
        <f>'Energy Benefit'!A41</f>
        <v>0</v>
      </c>
      <c r="B41" s="150">
        <f>'Generation plant Input'!$D$5*'Avoided Supply Costs'!P44*1000</f>
        <v>1618888.199517674</v>
      </c>
      <c r="C41" s="150">
        <f>B41/(1+'Levelized PV Rev Rqmt'!$H$1)^('Levelized PV Rev Rqmt'!B44-'Levelized PV Rev Rqmt'!$H$2)</f>
        <v>237305.91763102316</v>
      </c>
      <c r="D41" s="151">
        <f t="shared" si="0"/>
        <v>16007466.917550284</v>
      </c>
      <c r="E41" s="152">
        <f>B41/'Generation plant Input'!$D$5/10000</f>
        <v>5.8761822124053502</v>
      </c>
      <c r="F41" s="153">
        <f t="shared" si="1"/>
        <v>3.9197120311788796</v>
      </c>
    </row>
    <row r="42" spans="1:6" ht="15" x14ac:dyDescent="0.25">
      <c r="A42" s="149">
        <f>'Energy Benefit'!A42</f>
        <v>0</v>
      </c>
      <c r="B42" s="150">
        <f>'Generation plant Input'!$D$5*'Avoided Supply Costs'!P45*1000</f>
        <v>1646611.9062974323</v>
      </c>
      <c r="C42" s="150">
        <f>B42/(1+'Levelized PV Rev Rqmt'!$H$1)^('Levelized PV Rev Rqmt'!B45-'Levelized PV Rev Rqmt'!$H$2)</f>
        <v>228116.26271974167</v>
      </c>
      <c r="D42" s="151">
        <f t="shared" si="0"/>
        <v>16235583.180270026</v>
      </c>
      <c r="E42" s="152">
        <f>B42/'Generation plant Input'!$D$5/10000</f>
        <v>5.9768127270324225</v>
      </c>
      <c r="F42" s="153">
        <f t="shared" si="1"/>
        <v>3.9197120311788796</v>
      </c>
    </row>
    <row r="43" spans="1:6" ht="15" x14ac:dyDescent="0.25">
      <c r="A43" s="149">
        <f>'Energy Benefit'!A43</f>
        <v>0</v>
      </c>
      <c r="B43" s="150">
        <f>'Generation plant Input'!$D$5*'Avoided Supply Costs'!P46*1000</f>
        <v>1674810.3857747985</v>
      </c>
      <c r="C43" s="150">
        <f>B43/(1+'Levelized PV Rev Rqmt'!$H$1)^('Levelized PV Rev Rqmt'!B46-'Levelized PV Rev Rqmt'!$H$2)</f>
        <v>219282.47654629656</v>
      </c>
      <c r="D43" s="151">
        <f t="shared" si="0"/>
        <v>16454865.656816322</v>
      </c>
      <c r="E43" s="152">
        <f>B43/'Generation plant Input'!$D$5/10000</f>
        <v>6.0791665545364735</v>
      </c>
      <c r="F43" s="153">
        <f t="shared" si="1"/>
        <v>3.9197120311788796</v>
      </c>
    </row>
    <row r="44" spans="1:6" ht="15" x14ac:dyDescent="0.25">
      <c r="A44" s="149">
        <f>'Energy Benefit'!A44</f>
        <v>0</v>
      </c>
      <c r="B44" s="150">
        <f>'Generation plant Input'!$D$5*'Avoided Supply Costs'!P47*1000</f>
        <v>1703491.7685044697</v>
      </c>
      <c r="C44" s="150">
        <f>B44/(1+'Levelized PV Rev Rqmt'!$H$1)^('Levelized PV Rev Rqmt'!B47-'Levelized PV Rev Rqmt'!$H$2)</f>
        <v>210790.77811893212</v>
      </c>
      <c r="D44" s="151">
        <f t="shared" si="0"/>
        <v>16665656.434935255</v>
      </c>
      <c r="E44" s="152">
        <f>B44/'Generation plant Input'!$D$5/10000</f>
        <v>6.1832732069127756</v>
      </c>
      <c r="F44" s="153">
        <f t="shared" si="1"/>
        <v>3.9197120311788796</v>
      </c>
    </row>
    <row r="45" spans="1:6" ht="15" x14ac:dyDescent="0.25">
      <c r="A45" s="149">
        <f>'Energy Benefit'!A45</f>
        <v>0</v>
      </c>
      <c r="B45" s="150">
        <f>'Generation plant Input'!$D$5*'Avoided Supply Costs'!P48*1000</f>
        <v>1732664.3242781302</v>
      </c>
      <c r="C45" s="150">
        <f>B45/(1+'Levelized PV Rev Rqmt'!$H$1)^('Levelized PV Rev Rqmt'!B48-'Levelized PV Rev Rqmt'!$H$2)</f>
        <v>202627.92011382585</v>
      </c>
      <c r="D45" s="151">
        <f t="shared" si="0"/>
        <v>16868284.355049081</v>
      </c>
      <c r="E45" s="152">
        <f>B45/'Generation plant Input'!$D$5/10000</f>
        <v>6.2891627015540115</v>
      </c>
      <c r="F45" s="153">
        <f t="shared" si="1"/>
        <v>3.9197120311788796</v>
      </c>
    </row>
    <row r="46" spans="1:6" ht="15" x14ac:dyDescent="0.25">
      <c r="A46" s="149">
        <f>'Energy Benefit'!A46</f>
        <v>0</v>
      </c>
      <c r="B46" s="150">
        <f>'Generation plant Input'!$D$5*'Avoided Supply Costs'!P49*1000</f>
        <v>1762336.4645089053</v>
      </c>
      <c r="C46" s="150">
        <f>B46/(1+'Levelized PV Rev Rqmt'!$H$1)^('Levelized PV Rev Rqmt'!B49-'Levelized PV Rev Rqmt'!$H$2)</f>
        <v>194781.1682088353</v>
      </c>
      <c r="D46" s="151">
        <f t="shared" si="0"/>
        <v>17063065.523257915</v>
      </c>
      <c r="E46" s="152">
        <f>B46/'Generation plant Input'!$D$5/10000</f>
        <v>6.396865569905283</v>
      </c>
      <c r="F46" s="153">
        <f t="shared" si="1"/>
        <v>3.9197120311788796</v>
      </c>
    </row>
    <row r="47" spans="1:6" ht="15" x14ac:dyDescent="0.25">
      <c r="A47" s="149">
        <f>'Energy Benefit'!A47</f>
        <v>0</v>
      </c>
      <c r="B47" s="150">
        <f>'Generation plant Input'!$D$5*'Avoided Supply Costs'!P50*1000</f>
        <v>1792516.7446566497</v>
      </c>
      <c r="C47" s="150">
        <f>B47/(1+'Levelized PV Rev Rqmt'!$H$1)^('Levelized PV Rev Rqmt'!B50-'Levelized PV Rev Rqmt'!$H$2)</f>
        <v>187238.28121754411</v>
      </c>
      <c r="D47" s="151">
        <f t="shared" si="0"/>
        <v>17250303.80447546</v>
      </c>
      <c r="E47" s="152">
        <f>B47/'Generation plant Input'!$D$5/10000</f>
        <v>6.5064128662673308</v>
      </c>
      <c r="F47" s="153">
        <f t="shared" si="1"/>
        <v>3.9197120311788796</v>
      </c>
    </row>
    <row r="48" spans="1:6" ht="15" x14ac:dyDescent="0.25">
      <c r="A48" s="149">
        <f>'Energy Benefit'!A48</f>
        <v>0</v>
      </c>
      <c r="B48" s="150">
        <f>'Generation plant Input'!$D$5*'Avoided Supply Costs'!P51*1000</f>
        <v>1823213.8666947708</v>
      </c>
      <c r="C48" s="150">
        <f>B48/(1+'Levelized PV Rev Rqmt'!$H$1)^('Levelized PV Rev Rqmt'!B51-'Levelized PV Rev Rqmt'!$H$2)</f>
        <v>179987.49199261598</v>
      </c>
      <c r="D48" s="151">
        <f t="shared" si="0"/>
        <v>17430291.296468075</v>
      </c>
      <c r="E48" s="152">
        <f>B48/'Generation plant Input'!$D$5/10000</f>
        <v>6.6178361767505294</v>
      </c>
      <c r="F48" s="153">
        <f t="shared" si="1"/>
        <v>3.9197120311788796</v>
      </c>
    </row>
    <row r="49" spans="1:6" ht="15" x14ac:dyDescent="0.25">
      <c r="A49" s="149">
        <f>'Energy Benefit'!A49</f>
        <v>0</v>
      </c>
      <c r="B49" s="150">
        <f>'Generation plant Input'!$D$5*'Avoided Supply Costs'!P52*1000</f>
        <v>1854436.6816192949</v>
      </c>
      <c r="C49" s="150">
        <f>B49/(1+'Levelized PV Rev Rqmt'!$H$1)^('Levelized PV Rev Rqmt'!B52-'Levelized PV Rev Rqmt'!$H$2)</f>
        <v>173017.48906866476</v>
      </c>
      <c r="D49" s="151">
        <f t="shared" si="0"/>
        <v>17603308.78553674</v>
      </c>
      <c r="E49" s="152">
        <f>B49/'Generation plant Input'!$D$5/10000</f>
        <v>6.7311676283821962</v>
      </c>
      <c r="F49" s="153">
        <f t="shared" si="1"/>
        <v>3.9197120311788796</v>
      </c>
    </row>
    <row r="50" spans="1:6" ht="15" x14ac:dyDescent="0.25">
      <c r="A50" s="149">
        <f>'Energy Benefit'!A50</f>
        <v>0</v>
      </c>
      <c r="B50" s="150">
        <f>'Generation plant Input'!$D$5*'Avoided Supply Costs'!P53*1000</f>
        <v>1886194.1920009002</v>
      </c>
      <c r="C50" s="150">
        <f>B50/(1+'Levelized PV Rev Rqmt'!$H$1)^('Levelized PV Rev Rqmt'!B53-'Levelized PV Rev Rqmt'!$H$2)</f>
        <v>166317.39901600272</v>
      </c>
      <c r="D50" s="151">
        <f t="shared" si="0"/>
        <v>17769626.184552744</v>
      </c>
      <c r="E50" s="152">
        <f>B50/'Generation plant Input'!$D$5/10000</f>
        <v>6.8464398983698729</v>
      </c>
      <c r="F50" s="153">
        <f t="shared" si="1"/>
        <v>3.9197120311788796</v>
      </c>
    </row>
    <row r="51" spans="1:6" ht="15" x14ac:dyDescent="0.25">
      <c r="A51" s="149">
        <f>'Energy Benefit'!A51</f>
        <v>0</v>
      </c>
      <c r="B51" s="150">
        <f>'Generation plant Input'!$D$5*'Avoided Supply Costs'!P54*1000</f>
        <v>1918495.5545806612</v>
      </c>
      <c r="C51" s="150">
        <f>B51/(1+'Levelized PV Rev Rqmt'!$H$1)^('Levelized PV Rev Rqmt'!B54-'Levelized PV Rev Rqmt'!$H$2)</f>
        <v>159876.76947773978</v>
      </c>
      <c r="D51" s="151">
        <f t="shared" si="0"/>
        <v>17929502.954030484</v>
      </c>
      <c r="E51" s="152">
        <f>B51/'Generation plant Input'!$D$5/10000</f>
        <v>6.963686223523271</v>
      </c>
      <c r="F51" s="153">
        <f t="shared" si="1"/>
        <v>3.9197120311788796</v>
      </c>
    </row>
    <row r="52" spans="1:6" ht="15" x14ac:dyDescent="0.25">
      <c r="A52" s="149">
        <f>'Energy Benefit'!A52</f>
        <v>0</v>
      </c>
      <c r="B52" s="150">
        <f>'Generation plant Input'!$D$5*'Avoided Supply Costs'!P55*1000</f>
        <v>1951350.0829102339</v>
      </c>
      <c r="C52" s="150">
        <f>B52/(1+'Levelized PV Rev Rqmt'!$H$1)^('Levelized PV Rev Rqmt'!B55-'Levelized PV Rev Rqmt'!$H$2)</f>
        <v>153685.55286376839</v>
      </c>
      <c r="D52" s="151">
        <f t="shared" si="0"/>
        <v>18083188.506894253</v>
      </c>
      <c r="E52" s="152">
        <f>B52/'Generation plant Input'!$D$5/10000</f>
        <v>7.0829404098375086</v>
      </c>
      <c r="F52" s="153">
        <f t="shared" si="1"/>
        <v>3.9197120311788796</v>
      </c>
    </row>
    <row r="53" spans="1:6" ht="15" x14ac:dyDescent="0.25">
      <c r="A53" s="149">
        <f>'Energy Benefit'!A53</f>
        <v>0</v>
      </c>
      <c r="B53" s="150">
        <f>'Generation plant Input'!$D$5*'Avoided Supply Costs'!P56*1000</f>
        <v>1984767.250037265</v>
      </c>
      <c r="C53" s="150">
        <f>B53/(1+'Levelized PV Rev Rqmt'!$H$1)^('Levelized PV Rev Rqmt'!B56-'Levelized PV Rev Rqmt'!$H$2)</f>
        <v>147734.09067619877</v>
      </c>
      <c r="D53" s="151">
        <f t="shared" si="0"/>
        <v>18230922.597570453</v>
      </c>
      <c r="E53" s="152">
        <f>B53/'Generation plant Input'!$D$5/10000</f>
        <v>7.2042368422405252</v>
      </c>
      <c r="F53" s="153">
        <f t="shared" si="1"/>
        <v>3.9197120311788796</v>
      </c>
    </row>
    <row r="54" spans="1:6" ht="15" x14ac:dyDescent="0.25">
      <c r="A54" s="149">
        <f>'Energy Benefit'!A54</f>
        <v>0</v>
      </c>
      <c r="B54" s="150">
        <f>'Generation plant Input'!$D$5*'Avoided Supply Costs'!P57*1000</f>
        <v>2018756.691236784</v>
      </c>
      <c r="C54" s="150">
        <f>B54/(1+'Levelized PV Rev Rqmt'!$H$1)^('Levelized PV Rev Rqmt'!B57-'Levelized PV Rev Rqmt'!$H$2)</f>
        <v>142013.09844179047</v>
      </c>
      <c r="D54" s="151">
        <f t="shared" si="0"/>
        <v>18372935.696012244</v>
      </c>
      <c r="E54" s="152">
        <f>B54/'Generation plant Input'!$D$5/10000</f>
        <v>7.3276104945073817</v>
      </c>
      <c r="F54" s="153">
        <f t="shared" si="1"/>
        <v>3.9197120311788796</v>
      </c>
    </row>
    <row r="55" spans="1:6" ht="15" x14ac:dyDescent="0.25">
      <c r="A55" s="149">
        <f>'Energy Benefit'!A55</f>
        <v>0</v>
      </c>
      <c r="B55" s="150">
        <f>'Generation plant Input'!$D$5*'Avoided Supply Costs'!P58*1000</f>
        <v>2053328.2067893706</v>
      </c>
      <c r="C55" s="150">
        <f>B55/(1+'Levelized PV Rev Rqmt'!$H$1)^('Levelized PV Rev Rqmt'!B58-'Levelized PV Rev Rqmt'!$H$2)</f>
        <v>136513.65122787369</v>
      </c>
      <c r="D55" s="151">
        <f t="shared" si="0"/>
        <v>18509449.347240116</v>
      </c>
      <c r="E55" s="152">
        <f>B55/'Generation plant Input'!$D$5/10000</f>
        <v>7.4530969393443582</v>
      </c>
      <c r="F55" s="153">
        <f t="shared" si="1"/>
        <v>3.9197120311788796</v>
      </c>
    </row>
    <row r="56" spans="1:6" ht="15" x14ac:dyDescent="0.25">
      <c r="A56" s="149">
        <f>'Energy Benefit'!A56</f>
        <v>0</v>
      </c>
      <c r="B56" s="150">
        <f>'Generation plant Input'!$D$5*'Avoided Supply Costs'!P59*1000</f>
        <v>2088491.7648069013</v>
      </c>
      <c r="C56" s="150">
        <f>B56/(1+'Levelized PV Rev Rqmt'!$H$1)^('Levelized PV Rev Rqmt'!B59-'Levelized PV Rev Rqmt'!$H$2)</f>
        <v>131227.1697191665</v>
      </c>
      <c r="D56" s="151">
        <f t="shared" si="0"/>
        <v>18640676.516959284</v>
      </c>
      <c r="E56" s="152">
        <f>B56/'Generation plant Input'!$D$5/10000</f>
        <v>7.5807323586457391</v>
      </c>
      <c r="F56" s="153">
        <f t="shared" si="1"/>
        <v>3.9197120311788796</v>
      </c>
    </row>
    <row r="57" spans="1:6" ht="15" x14ac:dyDescent="0.25">
      <c r="A57" s="149">
        <f>'Energy Benefit'!A57</f>
        <v>0</v>
      </c>
      <c r="B57" s="150">
        <f>'Generation plant Input'!$D$5*'Avoided Supply Costs'!P60*1000</f>
        <v>2124257.504106686</v>
      </c>
      <c r="C57" s="150">
        <f>B57/(1+'Levelized PV Rev Rqmt'!$H$1)^('Levelized PV Rev Rqmt'!B60-'Levelized PV Rev Rqmt'!$H$2)</f>
        <v>126145.40683376572</v>
      </c>
      <c r="D57" s="151">
        <f t="shared" si="0"/>
        <v>18766821.923793048</v>
      </c>
      <c r="E57" s="152">
        <f>B57/'Generation plant Input'!$D$5/10000</f>
        <v>7.7105535539262648</v>
      </c>
      <c r="F57" s="153">
        <f t="shared" si="1"/>
        <v>3.9197120311788796</v>
      </c>
    </row>
    <row r="58" spans="1:6" ht="15" x14ac:dyDescent="0.25">
      <c r="A58" s="149">
        <f>'Energy Benefit'!A58</f>
        <v>0</v>
      </c>
      <c r="B58" s="150">
        <f>'Generation plant Input'!$D$5*'Avoided Supply Costs'!P61*1000</f>
        <v>2160635.7371348231</v>
      </c>
      <c r="C58" s="150">
        <f>B58/(1+'Levelized PV Rev Rqmt'!$H$1)^('Levelized PV Rev Rqmt'!B61-'Levelized PV Rev Rqmt'!$H$2)</f>
        <v>121260.43485743282</v>
      </c>
      <c r="D58" s="151">
        <f t="shared" si="0"/>
        <v>18888082.358650479</v>
      </c>
      <c r="E58" s="152">
        <f>B58/'Generation plant Input'!$D$5/10000</f>
        <v>7.8425979569322068</v>
      </c>
      <c r="F58" s="153">
        <f t="shared" si="1"/>
        <v>3.9197120311788796</v>
      </c>
    </row>
    <row r="59" spans="1:6" ht="15" x14ac:dyDescent="0.25">
      <c r="A59" s="149">
        <f>'Energy Benefit'!A59</f>
        <v>0</v>
      </c>
      <c r="B59" s="150">
        <f>'Generation plant Input'!$D$5*'Avoided Supply Costs'!P62*1000</f>
        <v>2197636.9529396207</v>
      </c>
      <c r="C59" s="150">
        <f>B59/(1+'Levelized PV Rev Rqmt'!$H$1)^('Levelized PV Rev Rqmt'!B62-'Levelized PV Rev Rqmt'!$H$2)</f>
        <v>116564.63307610359</v>
      </c>
      <c r="D59" s="151">
        <f t="shared" si="0"/>
        <v>19004646.991726585</v>
      </c>
      <c r="E59" s="152">
        <f>B59/'Generation plant Input'!$D$5/10000</f>
        <v>7.9769036404341955</v>
      </c>
      <c r="F59" s="153">
        <f t="shared" si="1"/>
        <v>3.9197120311788796</v>
      </c>
    </row>
    <row r="60" spans="1:6" ht="15" x14ac:dyDescent="0.25">
      <c r="A60" s="149">
        <f>'Energy Benefit'!A60</f>
        <v>0</v>
      </c>
      <c r="B60" s="150">
        <f>'Generation plant Input'!$D$5*'Avoided Supply Costs'!P63*1000</f>
        <v>2235271.8201959347</v>
      </c>
      <c r="C60" s="150">
        <f>B60/(1+'Levelized PV Rev Rqmt'!$H$1)^('Levelized PV Rev Rqmt'!B63-'Levelized PV Rev Rqmt'!$H$2)</f>
        <v>112050.67588732805</v>
      </c>
      <c r="D60" s="151">
        <f t="shared" si="0"/>
        <v>19116697.667613912</v>
      </c>
      <c r="E60" s="152">
        <f>B60/'Generation plant Input'!$D$5/10000</f>
        <v>8.1135093292048452</v>
      </c>
      <c r="F60" s="153">
        <f t="shared" si="1"/>
        <v>3.9197120311788796</v>
      </c>
    </row>
    <row r="61" spans="1:6" ht="15" x14ac:dyDescent="0.25">
      <c r="A61" s="149">
        <f>'Energy Benefit'!A61</f>
        <v>0</v>
      </c>
      <c r="B61" s="150">
        <f>'Generation plant Input'!$D$5*'Avoided Supply Costs'!P64*1000</f>
        <v>2273551.1902812999</v>
      </c>
      <c r="C61" s="150">
        <f>B61/(1+'Levelized PV Rev Rqmt'!$H$1)^('Levelized PV Rev Rqmt'!B64-'Levelized PV Rev Rqmt'!$H$2)</f>
        <v>107711.52137209405</v>
      </c>
      <c r="D61" s="151">
        <f t="shared" si="0"/>
        <v>19224409.188986007</v>
      </c>
      <c r="E61" s="152">
        <f>B61/'Generation plant Input'!$D$5/10000</f>
        <v>8.2524544111843916</v>
      </c>
      <c r="F61" s="153">
        <f t="shared" si="1"/>
        <v>3.9197120311788796</v>
      </c>
    </row>
    <row r="62" spans="1:6" ht="15" x14ac:dyDescent="0.25">
      <c r="A62" s="149">
        <f>'Energy Benefit'!A62</f>
        <v>0</v>
      </c>
      <c r="B62" s="150">
        <f>'Generation plant Input'!$D$5*'Avoided Supply Costs'!P65*1000</f>
        <v>2312486.1004047473</v>
      </c>
      <c r="C62" s="150">
        <f>B62/(1+'Levelized PV Rev Rqmt'!$H$1)^('Levelized PV Rev Rqmt'!B65-'Levelized PV Rev Rqmt'!$H$2)</f>
        <v>103540.40030920634</v>
      </c>
      <c r="D62" s="151">
        <f t="shared" si="0"/>
        <v>19327949.589295212</v>
      </c>
      <c r="E62" s="152">
        <f>B62/'Generation plant Input'!$D$5/10000</f>
        <v>8.3937789488375572</v>
      </c>
      <c r="F62" s="153">
        <f t="shared" si="1"/>
        <v>3.9197120311788796</v>
      </c>
    </row>
    <row r="63" spans="1:6" ht="15" x14ac:dyDescent="0.25">
      <c r="A63" s="149">
        <f>'Energy Benefit'!A63</f>
        <v>0</v>
      </c>
      <c r="B63" s="150">
        <f>'Generation plant Input'!$D$5*'Avoided Supply Costs'!P66*1000</f>
        <v>2352087.7767891879</v>
      </c>
      <c r="C63" s="150">
        <f>B63/(1+'Levelized PV Rev Rqmt'!$H$1)^('Levelized PV Rev Rqmt'!B66-'Levelized PV Rev Rqmt'!$H$2)</f>
        <v>99530.805615082485</v>
      </c>
      <c r="D63" s="151">
        <f t="shared" si="0"/>
        <v>19427480.394910295</v>
      </c>
      <c r="E63" s="152">
        <f>B63/'Generation plant Input'!$D$5/10000</f>
        <v>8.5375236907048553</v>
      </c>
      <c r="F63" s="153">
        <f t="shared" si="1"/>
        <v>3.9197120311788796</v>
      </c>
    </row>
    <row r="64" spans="1:6" ht="15" x14ac:dyDescent="0.25">
      <c r="A64" s="149">
        <f>'Energy Benefit'!A64</f>
        <v>0</v>
      </c>
      <c r="B64" s="150">
        <f>'Generation plant Input'!$D$5*'Avoided Supply Costs'!P67*1000</f>
        <v>2392367.6379083102</v>
      </c>
      <c r="C64" s="150">
        <f>B64/(1+'Levelized PV Rev Rqmt'!$H$1)^('Levelized PV Rev Rqmt'!B67-'Levelized PV Rev Rqmt'!$H$2)</f>
        <v>95676.482192492578</v>
      </c>
      <c r="D64" s="151">
        <f t="shared" si="0"/>
        <v>19523156.877102789</v>
      </c>
      <c r="E64" s="152">
        <f>B64/'Generation plant Input'!$D$5/10000</f>
        <v>8.6837300831517616</v>
      </c>
      <c r="F64" s="153">
        <f t="shared" si="1"/>
        <v>3.9197120311788796</v>
      </c>
    </row>
    <row r="65" spans="1:6" ht="15" x14ac:dyDescent="0.25">
      <c r="A65" s="149">
        <f>'Energy Benefit'!A65</f>
        <v>0</v>
      </c>
      <c r="B65" s="150">
        <f>'Generation plant Input'!$D$5*'Avoided Supply Costs'!P68*1000</f>
        <v>2433337.2977789016</v>
      </c>
      <c r="C65" s="150">
        <f>B65/(1+'Levelized PV Rev Rqmt'!$H$1)^('Levelized PV Rev Rqmt'!B68-'Levelized PV Rev Rqmt'!$H$2)</f>
        <v>91971.417172405505</v>
      </c>
      <c r="D65" s="151">
        <f t="shared" si="0"/>
        <v>19615128.294275194</v>
      </c>
      <c r="E65" s="152">
        <f>B65/'Generation plant Input'!$D$5/10000</f>
        <v>8.8324402823190624</v>
      </c>
      <c r="F65" s="153">
        <f t="shared" si="1"/>
        <v>3.9197120311788796</v>
      </c>
    </row>
    <row r="66" spans="1:6" ht="15" x14ac:dyDescent="0.25">
      <c r="A66" s="149">
        <f>'Energy Benefit'!A66</f>
        <v>0</v>
      </c>
      <c r="B66" s="150">
        <f>'Generation plant Input'!$D$5*'Avoided Supply Costs'!P69*1000</f>
        <v>2475008.5693095555</v>
      </c>
      <c r="C66" s="150">
        <f>B66/(1+'Levelized PV Rev Rqmt'!$H$1)^('Levelized PV Rev Rqmt'!B69-'Levelized PV Rev Rqmt'!$H$2)</f>
        <v>88409.830533718909</v>
      </c>
      <c r="D66" s="151">
        <f t="shared" si="0"/>
        <v>19703538.124808915</v>
      </c>
      <c r="E66" s="152">
        <f>B66/'Generation plant Input'!$D$5/10000</f>
        <v>8.983697166277878</v>
      </c>
      <c r="F66" s="153">
        <f t="shared" si="1"/>
        <v>3.9197120311788796</v>
      </c>
    </row>
    <row r="67" spans="1:6" ht="15" x14ac:dyDescent="0.25">
      <c r="A67" s="149">
        <f>'Energy Benefit'!A67</f>
        <v>0</v>
      </c>
      <c r="B67" s="150">
        <f>'Generation plant Input'!$D$5*'Avoided Supply Costs'!P70*1000</f>
        <v>2517393.4677067217</v>
      </c>
      <c r="C67" s="150">
        <f>B67/(1+'Levelized PV Rev Rqmt'!$H$1)^('Levelized PV Rev Rqmt'!B70-'Levelized PV Rev Rqmt'!$H$2)</f>
        <v>84986.166086239769</v>
      </c>
      <c r="D67" s="151">
        <f t="shared" si="0"/>
        <v>19788524.290895157</v>
      </c>
      <c r="E67" s="152">
        <f>B67/'Generation plant Input'!$D$5/10000</f>
        <v>9.1375443473928186</v>
      </c>
      <c r="F67" s="153">
        <f t="shared" si="1"/>
        <v>3.9197120311788796</v>
      </c>
    </row>
    <row r="68" spans="1:6" ht="15" x14ac:dyDescent="0.25">
      <c r="A68" s="149">
        <f>'Energy Benefit'!A68</f>
        <v>0</v>
      </c>
      <c r="B68" s="150">
        <f>'Generation plant Input'!$D$5*'Avoided Supply Costs'!P71*1000</f>
        <v>2560504.2139390893</v>
      </c>
      <c r="C68" s="150">
        <f>B68/(1+'Levelized PV Rev Rqmt'!$H$1)^('Levelized PV Rev Rqmt'!B71-'Levelized PV Rev Rqmt'!$H$2)</f>
        <v>81695.082802848046</v>
      </c>
      <c r="D68" s="151">
        <f t="shared" si="0"/>
        <v>19870219.373698004</v>
      </c>
      <c r="E68" s="152">
        <f>B68/'Generation plant Input'!$D$5/10000</f>
        <v>9.2940261848968753</v>
      </c>
      <c r="F68" s="153">
        <f t="shared" si="1"/>
        <v>3.9197120311788796</v>
      </c>
    </row>
    <row r="69" spans="1:6" ht="15" x14ac:dyDescent="0.25">
      <c r="A69" s="149">
        <f>'Energy Benefit'!A69</f>
        <v>0</v>
      </c>
      <c r="B69" s="150">
        <f>'Generation plant Input'!$D$5*'Avoided Supply Costs'!P72*1000</f>
        <v>2604353.2382612955</v>
      </c>
      <c r="C69" s="150">
        <f>B69/(1+'Levelized PV Rev Rqmt'!$H$1)^('Levelized PV Rev Rqmt'!B72-'Levelized PV Rev Rqmt'!$H$2)</f>
        <v>78531.446487321999</v>
      </c>
      <c r="D69" s="151">
        <f t="shared" si="0"/>
        <v>19948750.820185326</v>
      </c>
      <c r="E69" s="152">
        <f>B69/'Generation plant Input'!$D$5/10000</f>
        <v>9.4531877976816521</v>
      </c>
      <c r="F69" s="153">
        <f t="shared" si="1"/>
        <v>3.9197120311788796</v>
      </c>
    </row>
    <row r="70" spans="1:6" ht="15" x14ac:dyDescent="0.25">
      <c r="A70" s="149">
        <f>'Energy Benefit'!A70</f>
        <v>0</v>
      </c>
      <c r="B70" s="150">
        <f>'Generation plant Input'!$D$5*'Avoided Supply Costs'!P73*1000</f>
        <v>2648953.1837979807</v>
      </c>
      <c r="C70" s="150">
        <f>B70/(1+'Levelized PV Rev Rqmt'!$H$1)^('Levelized PV Rev Rqmt'!B73-'Levelized PV Rev Rqmt'!$H$2)</f>
        <v>75490.321764826207</v>
      </c>
      <c r="D70" s="151">
        <f t="shared" si="0"/>
        <v>20024241.141950153</v>
      </c>
      <c r="E70" s="152">
        <f>B70/'Generation plant Input'!$D$5/10000</f>
        <v>9.6150750773066456</v>
      </c>
      <c r="F70" s="153">
        <f t="shared" si="1"/>
        <v>3.9197120311788796</v>
      </c>
    </row>
    <row r="71" spans="1:6" ht="15" x14ac:dyDescent="0.25">
      <c r="A71" s="149">
        <f>'Energy Benefit'!A71</f>
        <v>0</v>
      </c>
      <c r="B71" s="150">
        <f>'Generation plant Input'!$D$5*'Avoided Supply Costs'!P74*1000</f>
        <v>2694316.9101892184</v>
      </c>
      <c r="C71" s="150">
        <f>B71/(1+'Levelized PV Rev Rqmt'!$H$1)^('Levelized PV Rev Rqmt'!B74-'Levelized PV Rev Rqmt'!$H$2)</f>
        <v>72566.964382567385</v>
      </c>
      <c r="D71" s="151">
        <f t="shared" si="0"/>
        <v>20096808.106332719</v>
      </c>
      <c r="E71" s="152">
        <f>B71/'Generation plant Input'!$D$5/10000</f>
        <v>9.7797347012312823</v>
      </c>
      <c r="F71" s="153">
        <f t="shared" si="1"/>
        <v>3.9197120311788796</v>
      </c>
    </row>
    <row r="72" spans="1:6" ht="15" x14ac:dyDescent="0.25">
      <c r="A72" s="149">
        <f>'Energy Benefit'!A72</f>
        <v>0</v>
      </c>
      <c r="B72" s="150">
        <f>'Generation plant Input'!$D$5*'Avoided Supply Costs'!P75*1000</f>
        <v>2740457.4972983752</v>
      </c>
      <c r="C72" s="150">
        <f>B72/(1+'Levelized PV Rev Rqmt'!$H$1)^('Levelized PV Rev Rqmt'!B75-'Levelized PV Rev Rqmt'!$H$2)</f>
        <v>69756.813808606879</v>
      </c>
      <c r="D72" s="151">
        <f t="shared" ref="D72:D87" si="2">C72+D71</f>
        <v>20166564.920141324</v>
      </c>
      <c r="E72" s="152">
        <f>B72/'Generation plant Input'!$D$5/10000</f>
        <v>9.947214146273593</v>
      </c>
      <c r="F72" s="153">
        <f t="shared" si="1"/>
        <v>3.9197120311788796</v>
      </c>
    </row>
    <row r="73" spans="1:6" ht="15" x14ac:dyDescent="0.25">
      <c r="A73" s="149">
        <f>'Energy Benefit'!A73</f>
        <v>0</v>
      </c>
      <c r="B73" s="150">
        <f>'Generation plant Input'!$D$5*'Avoided Supply Costs'!P76*1000</f>
        <v>2787388.2489834684</v>
      </c>
      <c r="C73" s="150">
        <f>B73/(1+'Levelized PV Rev Rqmt'!$H$1)^('Levelized PV Rev Rqmt'!B76-'Levelized PV Rev Rqmt'!$H$2)</f>
        <v>67055.486117283421</v>
      </c>
      <c r="D73" s="151">
        <f t="shared" si="2"/>
        <v>20233620.406258609</v>
      </c>
      <c r="E73" s="152">
        <f>B73/'Generation plant Input'!$D$5/10000</f>
        <v>10.117561702299341</v>
      </c>
      <c r="F73" s="153">
        <f t="shared" ref="F73:F87" si="3">F72</f>
        <v>3.9197120311788796</v>
      </c>
    </row>
    <row r="74" spans="1:6" ht="15" x14ac:dyDescent="0.25">
      <c r="A74" s="149">
        <f>'Energy Benefit'!A74</f>
        <v>0</v>
      </c>
      <c r="B74" s="150">
        <f>'Generation plant Input'!$D$5*'Avoided Supply Costs'!P77*1000</f>
        <v>2835122.6969331079</v>
      </c>
      <c r="C74" s="150">
        <f>B74/(1+'Levelized PV Rev Rqmt'!$H$1)^('Levelized PV Rev Rqmt'!B77-'Levelized PV Rev Rqmt'!$H$2)</f>
        <v>64458.767150147549</v>
      </c>
      <c r="D74" s="151">
        <f t="shared" si="2"/>
        <v>20298079.173408758</v>
      </c>
      <c r="E74" s="152">
        <f>B74/'Generation plant Input'!$D$5/10000</f>
        <v>10.290826486145582</v>
      </c>
      <c r="F74" s="153">
        <f t="shared" si="3"/>
        <v>3.9197120311788796</v>
      </c>
    </row>
    <row r="75" spans="1:6" ht="15" x14ac:dyDescent="0.25">
      <c r="A75" s="149">
        <f>'Energy Benefit'!A75</f>
        <v>0</v>
      </c>
      <c r="B75" s="150">
        <f>'Generation plant Input'!$D$5*'Avoided Supply Costs'!P78*1000</f>
        <v>2883674.6045681317</v>
      </c>
      <c r="C75" s="150">
        <f>B75/(1+'Levelized PV Rev Rqmt'!$H$1)^('Levelized PV Rev Rqmt'!B78-'Levelized PV Rev Rqmt'!$H$2)</f>
        <v>61962.605941738388</v>
      </c>
      <c r="D75" s="151">
        <f t="shared" si="2"/>
        <v>20360041.779350497</v>
      </c>
      <c r="E75" s="152">
        <f>B75/'Generation plant Input'!$D$5/10000</f>
        <v>10.467058455782691</v>
      </c>
      <c r="F75" s="153">
        <f t="shared" si="3"/>
        <v>3.9197120311788796</v>
      </c>
    </row>
    <row r="76" spans="1:6" ht="15" x14ac:dyDescent="0.25">
      <c r="A76" s="149">
        <f>'Energy Benefit'!A76</f>
        <v>0</v>
      </c>
      <c r="B76" s="150">
        <f>'Generation plant Input'!$D$5*'Avoided Supply Costs'!P79*1000</f>
        <v>2933057.9710100526</v>
      </c>
      <c r="C76" s="150">
        <f>B76/(1+'Levelized PV Rev Rqmt'!$H$1)^('Levelized PV Rev Rqmt'!B79-'Levelized PV Rev Rqmt'!$H$2)</f>
        <v>59563.108399946563</v>
      </c>
      <c r="D76" s="151">
        <f t="shared" si="2"/>
        <v>20419604.887750443</v>
      </c>
      <c r="E76" s="152">
        <f>B76/'Generation plant Input'!$D$5/10000</f>
        <v>10.646308424718885</v>
      </c>
      <c r="F76" s="153">
        <f t="shared" si="3"/>
        <v>3.9197120311788796</v>
      </c>
    </row>
    <row r="77" spans="1:6" ht="15" x14ac:dyDescent="0.25">
      <c r="A77" s="149">
        <f>'Energy Benefit'!A77</f>
        <v>0</v>
      </c>
      <c r="B77" s="150">
        <f>'Generation plant Input'!$D$5*'Avoided Supply Costs'!P80*1000</f>
        <v>2983287.0351174707</v>
      </c>
      <c r="C77" s="150">
        <f>B77/(1+'Levelized PV Rev Rqmt'!$H$1)^('Levelized PV Rev Rqmt'!B80-'Levelized PV Rev Rqmt'!$H$2)</f>
        <v>57256.531231104811</v>
      </c>
      <c r="D77" s="151">
        <f t="shared" si="2"/>
        <v>20476861.418981548</v>
      </c>
      <c r="E77" s="152">
        <f>B77/'Generation plant Input'!$D$5/10000</f>
        <v>10.828628076651436</v>
      </c>
      <c r="F77" s="153">
        <f t="shared" si="3"/>
        <v>3.9197120311788796</v>
      </c>
    </row>
    <row r="78" spans="1:6" ht="15" x14ac:dyDescent="0.25">
      <c r="A78" s="149">
        <f>'Energy Benefit'!A78</f>
        <v>0</v>
      </c>
      <c r="B78" s="150">
        <f>'Generation plant Input'!$D$5*'Avoided Supply Costs'!P81*1000</f>
        <v>3034376.2795916065</v>
      </c>
      <c r="C78" s="150">
        <f>B78/(1+'Levelized PV Rev Rqmt'!$H$1)^('Levelized PV Rev Rqmt'!B81-'Levelized PV Rev Rqmt'!$H$2)</f>
        <v>55039.276100328942</v>
      </c>
      <c r="D78" s="151">
        <f t="shared" si="2"/>
        <v>20531900.695081878</v>
      </c>
      <c r="E78" s="152">
        <f>B78/'Generation plant Input'!$D$5/10000</f>
        <v>11.014069980368808</v>
      </c>
      <c r="F78" s="153">
        <f t="shared" si="3"/>
        <v>3.9197120311788796</v>
      </c>
    </row>
    <row r="79" spans="1:6" ht="15" x14ac:dyDescent="0.25">
      <c r="A79" s="149">
        <f>'Energy Benefit'!A79</f>
        <v>0</v>
      </c>
      <c r="B79" s="150">
        <f>'Generation plant Input'!$D$5*'Avoided Supply Costs'!P82*1000</f>
        <v>3086340.4351521423</v>
      </c>
      <c r="C79" s="150">
        <f>B79/(1+'Levelized PV Rev Rqmt'!$H$1)^('Levelized PV Rev Rqmt'!B82-'Levelized PV Rev Rqmt'!$H$2)</f>
        <v>52907.884017999168</v>
      </c>
      <c r="D79" s="151">
        <f t="shared" si="2"/>
        <v>20584808.579099879</v>
      </c>
      <c r="E79" s="152">
        <f>B79/'Generation plant Input'!$D$5/10000</f>
        <v>11.202687604907958</v>
      </c>
      <c r="F79" s="153">
        <f t="shared" si="3"/>
        <v>3.9197120311788796</v>
      </c>
    </row>
    <row r="80" spans="1:6" ht="15" x14ac:dyDescent="0.25">
      <c r="A80" s="149">
        <f>'Energy Benefit'!A80</f>
        <v>0</v>
      </c>
      <c r="B80" s="150">
        <f>'Generation plant Input'!$D$5*'Avoided Supply Costs'!P83*1000</f>
        <v>3139194.484784577</v>
      </c>
      <c r="C80" s="150">
        <f>B80/(1+'Levelized PV Rev Rqmt'!$H$1)^('Levelized PV Rev Rqmt'!B83-'Levelized PV Rev Rqmt'!$H$2)</f>
        <v>50859.029943624606</v>
      </c>
      <c r="D80" s="151">
        <f t="shared" si="2"/>
        <v>20635667.609043505</v>
      </c>
      <c r="E80" s="152">
        <f>B80/'Generation plant Input'!$D$5/10000</f>
        <v>11.394535334971241</v>
      </c>
      <c r="F80" s="153">
        <f t="shared" si="3"/>
        <v>3.9197120311788796</v>
      </c>
    </row>
    <row r="81" spans="1:6" ht="15" x14ac:dyDescent="0.25">
      <c r="A81" s="149">
        <f>'Energy Benefit'!A81</f>
        <v>0</v>
      </c>
      <c r="B81" s="150">
        <f>'Generation plant Input'!$D$5*'Avoided Supply Costs'!P84*1000</f>
        <v>3192953.6680603162</v>
      </c>
      <c r="C81" s="150">
        <f>B81/(1+'Levelized PV Rev Rqmt'!$H$1)^('Levelized PV Rev Rqmt'!B84-'Levelized PV Rev Rqmt'!$H$2)</f>
        <v>48889.517598672704</v>
      </c>
      <c r="D81" s="151">
        <f t="shared" si="2"/>
        <v>20684557.126642179</v>
      </c>
      <c r="E81" s="152">
        <f>B81/'Generation plant Input'!$D$5/10000</f>
        <v>11.589668486607318</v>
      </c>
      <c r="F81" s="153">
        <f t="shared" si="3"/>
        <v>3.9197120311788796</v>
      </c>
    </row>
    <row r="82" spans="1:6" ht="15" x14ac:dyDescent="0.25">
      <c r="A82" s="149">
        <f>'Energy Benefit'!A82</f>
        <v>0</v>
      </c>
      <c r="B82" s="150">
        <f>'Generation plant Input'!$D$5*'Avoided Supply Costs'!P85*1000</f>
        <v>3247633.4855307457</v>
      </c>
      <c r="C82" s="150">
        <f>B82/(1+'Levelized PV Rev Rqmt'!$H$1)^('Levelized PV Rev Rqmt'!B85-'Levelized PV Rev Rqmt'!$H$2)</f>
        <v>46996.274480271466</v>
      </c>
      <c r="D82" s="151">
        <f t="shared" si="2"/>
        <v>20731553.401122451</v>
      </c>
      <c r="E82" s="152">
        <f>B82/'Generation plant Input'!$D$5/10000</f>
        <v>11.788143323160602</v>
      </c>
      <c r="F82" s="153">
        <f t="shared" si="3"/>
        <v>3.9197120311788796</v>
      </c>
    </row>
    <row r="83" spans="1:6" ht="15" x14ac:dyDescent="0.25">
      <c r="A83" s="149">
        <f>'Energy Benefit'!A83</f>
        <v>0</v>
      </c>
      <c r="B83" s="150">
        <f>'Generation plant Input'!$D$5*'Avoided Supply Costs'!P86*1000</f>
        <v>3303249.7031965517</v>
      </c>
      <c r="C83" s="150">
        <f>B83/(1+'Levelized PV Rev Rqmt'!$H$1)^('Levelized PV Rev Rqmt'!B86-'Levelized PV Rev Rqmt'!$H$2)</f>
        <v>45176.347068005802</v>
      </c>
      <c r="D83" s="151">
        <f t="shared" si="2"/>
        <v>20776729.748190455</v>
      </c>
      <c r="E83" s="152">
        <f>B83/'Generation plant Input'!$D$5/10000</f>
        <v>11.990017071493835</v>
      </c>
      <c r="F83" s="153">
        <f t="shared" si="3"/>
        <v>3.9197120311788796</v>
      </c>
    </row>
    <row r="84" spans="1:6" ht="15" x14ac:dyDescent="0.25">
      <c r="A84" s="149">
        <f>'Energy Benefit'!A84</f>
        <v>0</v>
      </c>
      <c r="B84" s="150">
        <f>'Generation plant Input'!$D$5*'Avoided Supply Costs'!P87*1000</f>
        <v>3359818.3570535816</v>
      </c>
      <c r="C84" s="150">
        <f>B84/(1+'Levelized PV Rev Rqmt'!$H$1)^('Levelized PV Rev Rqmt'!B87-'Levelized PV Rev Rqmt'!$H$2)</f>
        <v>43426.896216330199</v>
      </c>
      <c r="D84" s="151">
        <f t="shared" si="2"/>
        <v>20820156.644406784</v>
      </c>
      <c r="E84" s="152">
        <f>B84/'Generation plant Input'!$D$5/10000</f>
        <v>12.195347938488499</v>
      </c>
      <c r="F84" s="153">
        <f t="shared" si="3"/>
        <v>3.9197120311788796</v>
      </c>
    </row>
    <row r="85" spans="1:6" ht="15" x14ac:dyDescent="0.25">
      <c r="A85" s="149">
        <f>'Energy Benefit'!A85</f>
        <v>0</v>
      </c>
      <c r="B85" s="150">
        <f>'Generation plant Input'!$D$5*'Avoided Supply Costs'!P88*1000</f>
        <v>3417355.7577165524</v>
      </c>
      <c r="C85" s="150">
        <f>B85/(1+'Levelized PV Rev Rqmt'!$H$1)^('Levelized PV Rev Rqmt'!B88-'Levelized PV Rev Rqmt'!$H$2)</f>
        <v>41745.192725410016</v>
      </c>
      <c r="D85" s="151">
        <f t="shared" si="2"/>
        <v>20861901.837132193</v>
      </c>
      <c r="E85" s="152">
        <f>B85/'Generation plant Input'!$D$5/10000</f>
        <v>12.404195127827776</v>
      </c>
      <c r="F85" s="153">
        <f t="shared" si="3"/>
        <v>3.9197120311788796</v>
      </c>
    </row>
    <row r="86" spans="1:6" ht="15" x14ac:dyDescent="0.25">
      <c r="A86" s="149">
        <f>'Energy Benefit'!A86</f>
        <v>0</v>
      </c>
      <c r="B86" s="150">
        <f>'Generation plant Input'!$D$5*'Avoided Supply Costs'!P89*1000</f>
        <v>3475878.4951219405</v>
      </c>
      <c r="C86" s="150">
        <f>B86/(1+'Levelized PV Rev Rqmt'!$H$1)^('Levelized PV Rev Rqmt'!B89-'Levelized PV Rev Rqmt'!$H$2)</f>
        <v>40128.613083481607</v>
      </c>
      <c r="D86" s="151">
        <f t="shared" si="2"/>
        <v>20902030.450215675</v>
      </c>
      <c r="E86" s="152">
        <f>B86/'Generation plant Input'!$D$5/10000</f>
        <v>12.616618857066934</v>
      </c>
      <c r="F86" s="153">
        <f t="shared" si="3"/>
        <v>3.9197120311788796</v>
      </c>
    </row>
    <row r="87" spans="1:6" ht="15" x14ac:dyDescent="0.25">
      <c r="A87" s="149">
        <f>'Energy Benefit'!A87</f>
        <v>0</v>
      </c>
      <c r="B87" s="150">
        <f>'Generation plant Input'!$D$5*'Avoided Supply Costs'!P90*1000</f>
        <v>3535403.4433114077</v>
      </c>
      <c r="C87" s="150">
        <f>B87/(1+'Levelized PV Rev Rqmt'!$H$1)^('Levelized PV Rev Rqmt'!B90-'Levelized PV Rev Rqmt'!$H$2)</f>
        <v>38574.635374089157</v>
      </c>
      <c r="D87" s="151">
        <f t="shared" si="2"/>
        <v>20940605.085589763</v>
      </c>
      <c r="E87" s="152">
        <f>B87/'Generation plant Input'!$D$5/10000</f>
        <v>12.832680374996036</v>
      </c>
      <c r="F87" s="153">
        <f t="shared" si="3"/>
        <v>3.9197120311788796</v>
      </c>
    </row>
  </sheetData>
  <mergeCells count="7">
    <mergeCell ref="A1:F1"/>
    <mergeCell ref="F3:F5"/>
    <mergeCell ref="B3:B5"/>
    <mergeCell ref="C3:C5"/>
    <mergeCell ref="D3:D5"/>
    <mergeCell ref="E3:E5"/>
    <mergeCell ref="A3:A5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9503E-51C8-4A70-9E57-93F559423D39}">
  <dimension ref="A1:G88"/>
  <sheetViews>
    <sheetView workbookViewId="0">
      <selection activeCell="K15" sqref="K15"/>
    </sheetView>
  </sheetViews>
  <sheetFormatPr defaultRowHeight="14.25" x14ac:dyDescent="0.2"/>
  <cols>
    <col min="1" max="2" width="9.28515625" style="109" bestFit="1" customWidth="1"/>
    <col min="3" max="4" width="10.28515625" style="109" bestFit="1" customWidth="1"/>
    <col min="5" max="5" width="12.7109375" style="109" bestFit="1" customWidth="1"/>
    <col min="6" max="6" width="9.28515625" style="109" bestFit="1" customWidth="1"/>
    <col min="7" max="7" width="12.85546875" style="109" customWidth="1"/>
    <col min="8" max="16384" width="9.140625" style="109"/>
  </cols>
  <sheetData>
    <row r="1" spans="1:7" x14ac:dyDescent="0.2">
      <c r="A1" s="214" t="s">
        <v>116</v>
      </c>
      <c r="B1" s="214"/>
      <c r="C1" s="214"/>
      <c r="D1" s="214"/>
      <c r="E1" s="214"/>
      <c r="F1" s="214"/>
      <c r="G1" s="214"/>
    </row>
    <row r="2" spans="1:7" ht="15" x14ac:dyDescent="0.25">
      <c r="A2" s="203" t="s">
        <v>77</v>
      </c>
      <c r="B2" s="203"/>
      <c r="C2" s="203"/>
      <c r="D2" s="203"/>
      <c r="E2" s="203"/>
      <c r="F2" s="203"/>
      <c r="G2" s="203"/>
    </row>
    <row r="3" spans="1:7" ht="15" x14ac:dyDescent="0.25">
      <c r="A3" s="154"/>
      <c r="B3" s="154"/>
      <c r="C3" s="154"/>
      <c r="D3" s="154"/>
      <c r="E3" s="154"/>
      <c r="F3" s="154"/>
      <c r="G3" s="154"/>
    </row>
    <row r="4" spans="1:7" x14ac:dyDescent="0.2">
      <c r="A4" s="215" t="s">
        <v>44</v>
      </c>
      <c r="B4" s="216" t="s">
        <v>65</v>
      </c>
      <c r="C4" s="213" t="s">
        <v>47</v>
      </c>
      <c r="D4" s="213" t="s">
        <v>19</v>
      </c>
      <c r="E4" s="213" t="s">
        <v>67</v>
      </c>
      <c r="F4" s="213" t="s">
        <v>66</v>
      </c>
      <c r="G4" s="213" t="s">
        <v>58</v>
      </c>
    </row>
    <row r="5" spans="1:7" ht="15" customHeight="1" x14ac:dyDescent="0.2">
      <c r="A5" s="215"/>
      <c r="B5" s="216"/>
      <c r="C5" s="213"/>
      <c r="D5" s="213"/>
      <c r="E5" s="213"/>
      <c r="F5" s="213"/>
      <c r="G5" s="213"/>
    </row>
    <row r="6" spans="1:7" x14ac:dyDescent="0.2">
      <c r="A6" s="215"/>
      <c r="B6" s="216"/>
      <c r="C6" s="213"/>
      <c r="D6" s="213"/>
      <c r="E6" s="213"/>
      <c r="F6" s="213"/>
      <c r="G6" s="213"/>
    </row>
    <row r="7" spans="1:7" ht="15" x14ac:dyDescent="0.25">
      <c r="A7" s="147"/>
      <c r="B7" s="154" t="s">
        <v>39</v>
      </c>
      <c r="C7" s="147" t="s">
        <v>59</v>
      </c>
      <c r="D7" s="147" t="s">
        <v>59</v>
      </c>
      <c r="E7" s="147" t="s">
        <v>59</v>
      </c>
      <c r="F7" s="148" t="s">
        <v>43</v>
      </c>
      <c r="G7" s="148" t="s">
        <v>43</v>
      </c>
    </row>
    <row r="8" spans="1:7" ht="15" x14ac:dyDescent="0.25">
      <c r="A8" s="155">
        <f>'Levelized PV Rev Rqmt'!B10</f>
        <v>2022</v>
      </c>
      <c r="B8" s="153">
        <v>0</v>
      </c>
      <c r="C8" s="150">
        <f>B8*'Avoided Supply Costs'!I10*1000</f>
        <v>0</v>
      </c>
      <c r="D8" s="150">
        <f>C8/(1+'Levelized PV Rev Rqmt'!$H$1)^('Levelized PV Rev Rqmt'!B10-'Levelized PV Rev Rqmt'!$H$2)</f>
        <v>0</v>
      </c>
      <c r="E8" s="151">
        <f>D8</f>
        <v>0</v>
      </c>
      <c r="F8" s="152">
        <f>C8/'Generation plant Input'!$D$5/10000</f>
        <v>0</v>
      </c>
      <c r="G8" s="153">
        <v>0</v>
      </c>
    </row>
    <row r="9" spans="1:7" ht="15" x14ac:dyDescent="0.25">
      <c r="A9" s="155">
        <f>'Levelized PV Rev Rqmt'!B11</f>
        <v>2023</v>
      </c>
      <c r="B9" s="153">
        <f>'Generation plant Input'!$D$9*0.95/(1.16)</f>
        <v>5.1676724137931034</v>
      </c>
      <c r="C9" s="150">
        <f>B9*'Avoided Supply Costs'!I11*1000</f>
        <v>1509722.9761919894</v>
      </c>
      <c r="D9" s="150">
        <f>C9/(1+'Levelized PV Rev Rqmt'!$H$1)^('Levelized PV Rev Rqmt'!B11-'Levelized PV Rev Rqmt'!$H$2)</f>
        <v>1426824.4742387198</v>
      </c>
      <c r="E9" s="151">
        <f t="shared" ref="E9:E72" si="0">D9+E8</f>
        <v>1426824.4742387198</v>
      </c>
      <c r="F9" s="152">
        <f>C9/'Generation plant Input'!$D$5/10000</f>
        <v>5.4799382075934275</v>
      </c>
      <c r="G9" s="153">
        <f>-(PMT('Levelized PV Rev Rqmt'!$H$1,18.1,E27))*100/('Generation plant Input'!$D$7*1000000)*(1+'Levelized PV Rev Rqmt'!$H$1)</f>
        <v>6.961006162300694</v>
      </c>
    </row>
    <row r="10" spans="1:7" ht="15" x14ac:dyDescent="0.25">
      <c r="A10" s="155">
        <f>'Levelized PV Rev Rqmt'!B12</f>
        <v>2024</v>
      </c>
      <c r="B10" s="153">
        <f>'Generation plant Input'!$D$9*0.95/(1.16)</f>
        <v>5.1676724137931034</v>
      </c>
      <c r="C10" s="150">
        <f>B10*'Avoided Supply Costs'!I12*1000</f>
        <v>1548771.3539918875</v>
      </c>
      <c r="D10" s="150">
        <f>C10/(1+'Levelized PV Rev Rqmt'!$H$1)^('Levelized PV Rev Rqmt'!B12-'Levelized PV Rev Rqmt'!$H$2)</f>
        <v>1383355.7467296803</v>
      </c>
      <c r="E10" s="151">
        <f t="shared" si="0"/>
        <v>2810180.2209684001</v>
      </c>
      <c r="F10" s="152">
        <f>C10/'Generation plant Input'!$D$5/10000</f>
        <v>5.6216746061411529</v>
      </c>
      <c r="G10" s="153">
        <f t="shared" ref="G10:G73" si="1">G9</f>
        <v>6.961006162300694</v>
      </c>
    </row>
    <row r="11" spans="1:7" ht="15" x14ac:dyDescent="0.25">
      <c r="A11" s="155">
        <f>'Levelized PV Rev Rqmt'!B13</f>
        <v>2025</v>
      </c>
      <c r="B11" s="153">
        <f>'Generation plant Input'!$D$9*0.95/(1.16)</f>
        <v>5.1676724137931034</v>
      </c>
      <c r="C11" s="150">
        <f>B11*'Avoided Supply Costs'!I13*1000</f>
        <v>1584484.9102085088</v>
      </c>
      <c r="D11" s="150">
        <f>C11/(1+'Levelized PV Rev Rqmt'!$H$1)^('Levelized PV Rev Rqmt'!B13-'Levelized PV Rev Rqmt'!$H$2)</f>
        <v>1337543.6515684528</v>
      </c>
      <c r="E11" s="151">
        <f t="shared" si="0"/>
        <v>4147723.872536853</v>
      </c>
      <c r="F11" s="152">
        <f>C11/'Generation plant Input'!$D$5/10000</f>
        <v>5.7513063891415932</v>
      </c>
      <c r="G11" s="153">
        <f t="shared" si="1"/>
        <v>6.961006162300694</v>
      </c>
    </row>
    <row r="12" spans="1:7" ht="15" x14ac:dyDescent="0.25">
      <c r="A12" s="155">
        <f>'Levelized PV Rev Rqmt'!B14</f>
        <v>2026</v>
      </c>
      <c r="B12" s="153">
        <f>'Generation plant Input'!$D$9*0.95/(1.16)</f>
        <v>5.1676724137931034</v>
      </c>
      <c r="C12" s="150">
        <f>B12*'Avoided Supply Costs'!I14*1000</f>
        <v>1613889.7486308562</v>
      </c>
      <c r="D12" s="150">
        <f>C12/(1+'Levelized PV Rev Rqmt'!$H$1)^('Levelized PV Rev Rqmt'!B14-'Levelized PV Rev Rqmt'!$H$2)</f>
        <v>1287558.6042760659</v>
      </c>
      <c r="E12" s="151">
        <f t="shared" si="0"/>
        <v>5435282.4768129187</v>
      </c>
      <c r="F12" s="152">
        <f>C12/'Generation plant Input'!$D$5/10000</f>
        <v>5.8580390149940333</v>
      </c>
      <c r="G12" s="153">
        <f t="shared" si="1"/>
        <v>6.961006162300694</v>
      </c>
    </row>
    <row r="13" spans="1:7" ht="15" x14ac:dyDescent="0.25">
      <c r="A13" s="155">
        <f>'Levelized PV Rev Rqmt'!B15</f>
        <v>2027</v>
      </c>
      <c r="B13" s="153">
        <f>'Generation plant Input'!$D$9*0.95/(1.16)</f>
        <v>5.1676724137931034</v>
      </c>
      <c r="C13" s="150">
        <f>B13*'Avoided Supply Costs'!I15*1000</f>
        <v>1647215.8139919301</v>
      </c>
      <c r="D13" s="150">
        <f>C13/(1+'Levelized PV Rev Rqmt'!$H$1)^('Levelized PV Rev Rqmt'!B15-'Levelized PV Rev Rqmt'!$H$2)</f>
        <v>1241986.6598285309</v>
      </c>
      <c r="E13" s="151">
        <f t="shared" si="0"/>
        <v>6677269.1366414493</v>
      </c>
      <c r="F13" s="152">
        <f>C13/'Generation plant Input'!$D$5/10000</f>
        <v>5.9790047694806896</v>
      </c>
      <c r="G13" s="153">
        <f t="shared" si="1"/>
        <v>6.961006162300694</v>
      </c>
    </row>
    <row r="14" spans="1:7" ht="15" x14ac:dyDescent="0.25">
      <c r="A14" s="155">
        <f>'Levelized PV Rev Rqmt'!B16</f>
        <v>2028</v>
      </c>
      <c r="B14" s="153">
        <f>'Generation plant Input'!$D$9*0.95/(1.16)</f>
        <v>5.1676724137931034</v>
      </c>
      <c r="C14" s="150">
        <f>B14*'Avoided Supply Costs'!I16*1000</f>
        <v>1686629.0539384724</v>
      </c>
      <c r="D14" s="150">
        <f>C14/(1+'Levelized PV Rev Rqmt'!$H$1)^('Levelized PV Rev Rqmt'!B16-'Levelized PV Rev Rqmt'!$H$2)</f>
        <v>1201874.9704547341</v>
      </c>
      <c r="E14" s="151">
        <f t="shared" si="0"/>
        <v>7879144.1070961831</v>
      </c>
      <c r="F14" s="152">
        <f>C14/'Generation plant Input'!$D$5/10000</f>
        <v>6.1220655315371051</v>
      </c>
      <c r="G14" s="153">
        <f t="shared" si="1"/>
        <v>6.961006162300694</v>
      </c>
    </row>
    <row r="15" spans="1:7" ht="15" x14ac:dyDescent="0.25">
      <c r="A15" s="155">
        <f>'Levelized PV Rev Rqmt'!B17</f>
        <v>2029</v>
      </c>
      <c r="B15" s="153">
        <f>'Generation plant Input'!$D$9*0.95/(1.16)</f>
        <v>5.1676724137931034</v>
      </c>
      <c r="C15" s="150">
        <f>B15*'Avoided Supply Costs'!I17*1000</f>
        <v>1730084.5668913659</v>
      </c>
      <c r="D15" s="150">
        <f>C15/(1+'Levelized PV Rev Rqmt'!$H$1)^('Levelized PV Rev Rqmt'!B17-'Levelized PV Rev Rqmt'!$H$2)</f>
        <v>1165145.9538151757</v>
      </c>
      <c r="E15" s="151">
        <f t="shared" si="0"/>
        <v>9044290.0609113593</v>
      </c>
      <c r="F15" s="152">
        <f>C15/'Generation plant Input'!$D$5/10000</f>
        <v>6.2797987908942501</v>
      </c>
      <c r="G15" s="153">
        <f t="shared" si="1"/>
        <v>6.961006162300694</v>
      </c>
    </row>
    <row r="16" spans="1:7" ht="15" x14ac:dyDescent="0.25">
      <c r="A16" s="155">
        <f>'Levelized PV Rev Rqmt'!B18</f>
        <v>2030</v>
      </c>
      <c r="B16" s="153">
        <f>'Generation plant Input'!$D$9*0.95/(1.16)</f>
        <v>5.1676724137931034</v>
      </c>
      <c r="C16" s="150">
        <f>B16*'Avoided Supply Costs'!I18*1000</f>
        <v>1760106.2488328775</v>
      </c>
      <c r="D16" s="150">
        <f>C16/(1+'Levelized PV Rev Rqmt'!$H$1)^('Levelized PV Rev Rqmt'!B18-'Levelized PV Rev Rqmt'!$H$2)</f>
        <v>1120276.3550595026</v>
      </c>
      <c r="E16" s="151">
        <f t="shared" si="0"/>
        <v>10164566.415970862</v>
      </c>
      <c r="F16" s="152">
        <f>C16/'Generation plant Input'!$D$5/10000</f>
        <v>6.3887704131864878</v>
      </c>
      <c r="G16" s="153">
        <f t="shared" si="1"/>
        <v>6.961006162300694</v>
      </c>
    </row>
    <row r="17" spans="1:7" ht="15" x14ac:dyDescent="0.25">
      <c r="A17" s="155">
        <f>'Levelized PV Rev Rqmt'!B19</f>
        <v>2031</v>
      </c>
      <c r="B17" s="153">
        <f>'Generation plant Input'!$D$9*0.95/(1.16)</f>
        <v>5.1676724137931034</v>
      </c>
      <c r="C17" s="150">
        <f>B17*'Avoided Supply Costs'!I19*1000</f>
        <v>1790885.537612872</v>
      </c>
      <c r="D17" s="150">
        <f>C17/(1+'Levelized PV Rev Rqmt'!$H$1)^('Levelized PV Rev Rqmt'!B19-'Levelized PV Rev Rqmt'!$H$2)</f>
        <v>1077277.0300570279</v>
      </c>
      <c r="E17" s="151">
        <f t="shared" si="0"/>
        <v>11241843.44602789</v>
      </c>
      <c r="F17" s="152">
        <f>C17/'Generation plant Input'!$D$5/10000</f>
        <v>6.5004919695567045</v>
      </c>
      <c r="G17" s="153">
        <f t="shared" si="1"/>
        <v>6.961006162300694</v>
      </c>
    </row>
    <row r="18" spans="1:7" ht="15" x14ac:dyDescent="0.25">
      <c r="A18" s="155">
        <f>'Levelized PV Rev Rqmt'!B20</f>
        <v>2032</v>
      </c>
      <c r="B18" s="153">
        <f>'Generation plant Input'!$D$9*0.95/(1.16)</f>
        <v>5.1676724137931034</v>
      </c>
      <c r="C18" s="150">
        <f>B18*'Avoided Supply Costs'!I20*1000</f>
        <v>1821952.3184229932</v>
      </c>
      <c r="D18" s="150">
        <f>C18/(1+'Levelized PV Rev Rqmt'!$H$1)^('Levelized PV Rev Rqmt'!B20-'Levelized PV Rev Rqmt'!$H$2)</f>
        <v>1035785.5862154772</v>
      </c>
      <c r="E18" s="151">
        <f t="shared" si="0"/>
        <v>12277629.032243367</v>
      </c>
      <c r="F18" s="152">
        <f>C18/'Generation plant Input'!$D$5/10000</f>
        <v>6.6132570541669438</v>
      </c>
      <c r="G18" s="153">
        <f t="shared" si="1"/>
        <v>6.961006162300694</v>
      </c>
    </row>
    <row r="19" spans="1:7" ht="15" x14ac:dyDescent="0.25">
      <c r="A19" s="155">
        <f>'Levelized PV Rev Rqmt'!B21</f>
        <v>2033</v>
      </c>
      <c r="B19" s="153">
        <f>'Generation plant Input'!$D$9*0.95/(1.16)</f>
        <v>5.1676724137931034</v>
      </c>
      <c r="C19" s="150">
        <f>B19*'Avoided Supply Costs'!I21*1000</f>
        <v>1853419.3012068714</v>
      </c>
      <c r="D19" s="150">
        <f>C19/(1+'Levelized PV Rev Rqmt'!$H$1)^('Levelized PV Rev Rqmt'!B21-'Levelized PV Rev Rqmt'!$H$2)</f>
        <v>995817.6583076925</v>
      </c>
      <c r="E19" s="151">
        <f t="shared" si="0"/>
        <v>13273446.690551059</v>
      </c>
      <c r="F19" s="152">
        <f>C19/'Generation plant Input'!$D$5/10000</f>
        <v>6.7274747775204045</v>
      </c>
      <c r="G19" s="153">
        <f t="shared" si="1"/>
        <v>6.961006162300694</v>
      </c>
    </row>
    <row r="20" spans="1:7" ht="15" x14ac:dyDescent="0.25">
      <c r="A20" s="155">
        <f>'Levelized PV Rev Rqmt'!B22</f>
        <v>2034</v>
      </c>
      <c r="B20" s="153">
        <f>'Generation plant Input'!$D$9*0.95/(1.16)</f>
        <v>5.1676724137931034</v>
      </c>
      <c r="C20" s="150">
        <f>B20*'Avoided Supply Costs'!I22*1000</f>
        <v>1885326.016118648</v>
      </c>
      <c r="D20" s="150">
        <f>C20/(1+'Levelized PV Rev Rqmt'!$H$1)^('Levelized PV Rev Rqmt'!B22-'Levelized PV Rev Rqmt'!$H$2)</f>
        <v>957339.30054445914</v>
      </c>
      <c r="E20" s="151">
        <f t="shared" si="0"/>
        <v>14230785.991095519</v>
      </c>
      <c r="F20" s="152">
        <f>C20/'Generation plant Input'!$D$5/10000</f>
        <v>6.8432886247500839</v>
      </c>
      <c r="G20" s="153">
        <f t="shared" si="1"/>
        <v>6.961006162300694</v>
      </c>
    </row>
    <row r="21" spans="1:7" ht="15" x14ac:dyDescent="0.25">
      <c r="A21" s="155">
        <f>'Levelized PV Rev Rqmt'!B23</f>
        <v>2035</v>
      </c>
      <c r="B21" s="153">
        <f>'Generation plant Input'!$D$9*0.95/(1.16)</f>
        <v>5.1676724137931034</v>
      </c>
      <c r="C21" s="150">
        <f>B21*'Avoided Supply Costs'!I23*1000</f>
        <v>1917678.3436771219</v>
      </c>
      <c r="D21" s="150">
        <f>C21/(1+'Levelized PV Rev Rqmt'!$H$1)^('Levelized PV Rev Rqmt'!B23-'Levelized PV Rev Rqmt'!$H$2)</f>
        <v>920297.9969180855</v>
      </c>
      <c r="E21" s="151">
        <f t="shared" si="0"/>
        <v>15151083.988013605</v>
      </c>
      <c r="F21" s="152">
        <f>C21/'Generation plant Input'!$D$5/10000</f>
        <v>6.9607199407518037</v>
      </c>
      <c r="G21" s="153">
        <f t="shared" si="1"/>
        <v>6.961006162300694</v>
      </c>
    </row>
    <row r="22" spans="1:7" ht="15" x14ac:dyDescent="0.25">
      <c r="A22" s="155">
        <f>'Levelized PV Rev Rqmt'!B24</f>
        <v>2036</v>
      </c>
      <c r="B22" s="153">
        <f>'Generation plant Input'!$D$9*0.95/(1.16)</f>
        <v>5.1676724137931034</v>
      </c>
      <c r="C22" s="150">
        <f>B22*'Avoided Supply Costs'!I24*1000</f>
        <v>1950768.6763447516</v>
      </c>
      <c r="D22" s="150">
        <f>C22/(1+'Levelized PV Rev Rqmt'!$H$1)^('Levelized PV Rev Rqmt'!B24-'Levelized PV Rev Rqmt'!$H$2)</f>
        <v>884772.81858438044</v>
      </c>
      <c r="E22" s="151">
        <f t="shared" si="0"/>
        <v>16035856.806597985</v>
      </c>
      <c r="F22" s="152">
        <f>C22/'Generation plant Input'!$D$5/10000</f>
        <v>7.0808300411787712</v>
      </c>
      <c r="G22" s="153">
        <f t="shared" si="1"/>
        <v>6.961006162300694</v>
      </c>
    </row>
    <row r="23" spans="1:7" ht="15" x14ac:dyDescent="0.25">
      <c r="A23" s="155">
        <f>'Levelized PV Rev Rqmt'!B25</f>
        <v>2037</v>
      </c>
      <c r="B23" s="153">
        <f>'Generation plant Input'!$D$9*0.95/(1.16)</f>
        <v>5.1676724137931034</v>
      </c>
      <c r="C23" s="150">
        <f>B23*'Avoided Supply Costs'!I25*1000</f>
        <v>1984042.9385725644</v>
      </c>
      <c r="D23" s="150">
        <f>C23/(1+'Levelized PV Rev Rqmt'!$H$1)^('Levelized PV Rev Rqmt'!B25-'Levelized PV Rev Rqmt'!$H$2)</f>
        <v>850453.06584080413</v>
      </c>
      <c r="E23" s="151">
        <f t="shared" si="0"/>
        <v>16886309.872438788</v>
      </c>
      <c r="F23" s="152">
        <f>C23/'Generation plant Input'!$D$5/10000</f>
        <v>7.201607762513845</v>
      </c>
      <c r="G23" s="153">
        <f t="shared" si="1"/>
        <v>6.961006162300694</v>
      </c>
    </row>
    <row r="24" spans="1:7" ht="15" x14ac:dyDescent="0.25">
      <c r="A24" s="155">
        <f>'Levelized PV Rev Rqmt'!B26</f>
        <v>2038</v>
      </c>
      <c r="B24" s="153">
        <f>'Generation plant Input'!$D$9*0.95/(1.16)</f>
        <v>5.1676724137931034</v>
      </c>
      <c r="C24" s="150">
        <f>B24*'Avoided Supply Costs'!I26*1000</f>
        <v>2018114.6644884914</v>
      </c>
      <c r="D24" s="150">
        <f>C24/(1+'Levelized PV Rev Rqmt'!$H$1)^('Levelized PV Rev Rqmt'!B26-'Levelized PV Rev Rqmt'!$H$2)</f>
        <v>817557.69017928792</v>
      </c>
      <c r="E24" s="151">
        <f t="shared" si="0"/>
        <v>17703867.562618077</v>
      </c>
      <c r="F24" s="152">
        <f>C24/'Generation plant Input'!$D$5/10000</f>
        <v>7.3252800888874452</v>
      </c>
      <c r="G24" s="153">
        <f t="shared" si="1"/>
        <v>6.961006162300694</v>
      </c>
    </row>
    <row r="25" spans="1:7" ht="15" x14ac:dyDescent="0.25">
      <c r="A25" s="155">
        <f>'Levelized PV Rev Rqmt'!B27</f>
        <v>2039</v>
      </c>
      <c r="B25" s="153">
        <f>'Generation plant Input'!$D$9*0.95/(1.16)</f>
        <v>5.1676724137931034</v>
      </c>
      <c r="C25" s="150">
        <f>B25*'Avoided Supply Costs'!I27*1000</f>
        <v>2052386.9814345303</v>
      </c>
      <c r="D25" s="150">
        <f>C25/(1+'Levelized PV Rev Rqmt'!$H$1)^('Levelized PV Rev Rqmt'!B27-'Levelized PV Rev Rqmt'!$H$2)</f>
        <v>785787.48313393153</v>
      </c>
      <c r="E25" s="151">
        <f t="shared" si="0"/>
        <v>18489655.045752008</v>
      </c>
      <c r="F25" s="152">
        <f>C25/'Generation plant Input'!$D$5/10000</f>
        <v>7.4496805133739761</v>
      </c>
      <c r="G25" s="153">
        <f t="shared" si="1"/>
        <v>6.961006162300694</v>
      </c>
    </row>
    <row r="26" spans="1:7" ht="15" x14ac:dyDescent="0.25">
      <c r="A26" s="155">
        <f>'Levelized PV Rev Rqmt'!B28</f>
        <v>2040</v>
      </c>
      <c r="B26" s="153">
        <f>'Generation plant Input'!$D$9*0.95/(1.16)</f>
        <v>5.1676724137931034</v>
      </c>
      <c r="C26" s="150">
        <f>B26*'Avoided Supply Costs'!I28*1000</f>
        <v>2087602.1415611894</v>
      </c>
      <c r="D26" s="150">
        <f>C26/(1+'Levelized PV Rev Rqmt'!$H$1)^('Levelized PV Rev Rqmt'!B28-'Levelized PV Rev Rqmt'!$H$2)</f>
        <v>755382.42252632952</v>
      </c>
      <c r="E26" s="151">
        <f t="shared" si="0"/>
        <v>19245037.468278337</v>
      </c>
      <c r="F26" s="152">
        <f>C26/'Generation plant Input'!$D$5/10000</f>
        <v>7.5775032361567671</v>
      </c>
      <c r="G26" s="153">
        <f t="shared" si="1"/>
        <v>6.961006162300694</v>
      </c>
    </row>
    <row r="27" spans="1:7" ht="15" x14ac:dyDescent="0.25">
      <c r="A27" s="155">
        <f>'Levelized PV Rev Rqmt'!B29</f>
        <v>2041</v>
      </c>
      <c r="B27" s="153">
        <f>'Generation plant Input'!$D$9*0.95/(1.16)</f>
        <v>5.1676724137931034</v>
      </c>
      <c r="C27" s="150">
        <f>B27*'Avoided Supply Costs'!I29*1000</f>
        <v>2123352.6459275079</v>
      </c>
      <c r="D27" s="150">
        <f>C27/(1+'Levelized PV Rev Rqmt'!$H$1)^('Levelized PV Rev Rqmt'!B29-'Levelized PV Rev Rqmt'!$H$2)</f>
        <v>726130.29152866034</v>
      </c>
      <c r="E27" s="151">
        <f t="shared" si="0"/>
        <v>19971167.759806998</v>
      </c>
      <c r="F27" s="152">
        <f>C27/'Generation plant Input'!$D$5/10000</f>
        <v>7.70726913222326</v>
      </c>
      <c r="G27" s="153">
        <f t="shared" si="1"/>
        <v>6.961006162300694</v>
      </c>
    </row>
    <row r="28" spans="1:7" ht="15" x14ac:dyDescent="0.25">
      <c r="A28" s="155">
        <f>'Levelized PV Rev Rqmt'!B30</f>
        <v>2042</v>
      </c>
      <c r="B28" s="153">
        <f>'Generation plant Input'!$D$9*0.95/(1.16)</f>
        <v>5.1676724137931034</v>
      </c>
      <c r="C28" s="150">
        <f>B28*'Avoided Supply Costs'!I30*1000</f>
        <v>2159715.3831216255</v>
      </c>
      <c r="D28" s="150">
        <f>C28/(1+'Levelized PV Rev Rqmt'!$H$1)^('Levelized PV Rev Rqmt'!B30-'Levelized PV Rev Rqmt'!$H$2)</f>
        <v>698010.94723926974</v>
      </c>
      <c r="E28" s="151">
        <f t="shared" si="0"/>
        <v>20669178.707046267</v>
      </c>
      <c r="F28" s="152">
        <f>C28/'Generation plant Input'!$D$5/10000</f>
        <v>7.8392572890077146</v>
      </c>
      <c r="G28" s="153">
        <f t="shared" si="1"/>
        <v>6.961006162300694</v>
      </c>
    </row>
    <row r="29" spans="1:7" ht="15" x14ac:dyDescent="0.25">
      <c r="A29" s="155">
        <f>'Levelized PV Rev Rqmt'!B31</f>
        <v>2043</v>
      </c>
      <c r="B29" s="153">
        <f>'Generation plant Input'!$D$9*0.95/(1.16)</f>
        <v>5.1676724137931034</v>
      </c>
      <c r="C29" s="150">
        <f>B29*'Avoided Supply Costs'!I31*1000</f>
        <v>2196700.8377238871</v>
      </c>
      <c r="D29" s="150">
        <f>C29/(1+'Levelized PV Rev Rqmt'!$H$1)^('Levelized PV Rev Rqmt'!B31-'Levelized PV Rev Rqmt'!$H$2)</f>
        <v>670980.52257283055</v>
      </c>
      <c r="E29" s="151">
        <f t="shared" si="0"/>
        <v>21340159.229619097</v>
      </c>
      <c r="F29" s="152">
        <f>C29/'Generation plant Input'!$D$5/10000</f>
        <v>7.9735057630631117</v>
      </c>
      <c r="G29" s="153">
        <f t="shared" si="1"/>
        <v>6.961006162300694</v>
      </c>
    </row>
    <row r="30" spans="1:7" ht="15" x14ac:dyDescent="0.25">
      <c r="A30" s="155">
        <f>'Levelized PV Rev Rqmt'!B32</f>
        <v>2044</v>
      </c>
      <c r="B30" s="153">
        <f>'Generation plant Input'!$D$9*0.95/(1.16)</f>
        <v>5.1676724137931034</v>
      </c>
      <c r="C30" s="150">
        <f>B30*'Avoided Supply Costs'!I32*1000</f>
        <v>2234319.6738646724</v>
      </c>
      <c r="D30" s="150">
        <f>C30/(1+'Levelized PV Rev Rqmt'!$H$1)^('Levelized PV Rev Rqmt'!B32-'Levelized PV Rev Rqmt'!$H$2)</f>
        <v>644996.84919380001</v>
      </c>
      <c r="E30" s="151">
        <f t="shared" si="0"/>
        <v>21985156.078812897</v>
      </c>
      <c r="F30" s="152">
        <f>C30/'Generation plant Input'!$D$5/10000</f>
        <v>8.1100532626666872</v>
      </c>
      <c r="G30" s="153">
        <f t="shared" si="1"/>
        <v>6.961006162300694</v>
      </c>
    </row>
    <row r="31" spans="1:7" ht="15" x14ac:dyDescent="0.25">
      <c r="A31" s="155">
        <f>'Levelized PV Rev Rqmt'!B33</f>
        <v>2045</v>
      </c>
      <c r="B31" s="153">
        <f>'Generation plant Input'!$D$9*0.95/(1.16)</f>
        <v>5.1676724137931034</v>
      </c>
      <c r="C31" s="150">
        <f>B31*'Avoided Supply Costs'!I33*1000</f>
        <v>2272582.738299218</v>
      </c>
      <c r="D31" s="150">
        <f>C31/(1+'Levelized PV Rev Rqmt'!$H$1)^('Levelized PV Rev Rqmt'!B33-'Levelized PV Rev Rqmt'!$H$2)</f>
        <v>620019.39173245279</v>
      </c>
      <c r="E31" s="151">
        <f t="shared" si="0"/>
        <v>22605175.470545352</v>
      </c>
      <c r="F31" s="152">
        <f>C31/'Generation plant Input'!$D$5/10000</f>
        <v>8.2489391589808285</v>
      </c>
      <c r="G31" s="153">
        <f t="shared" si="1"/>
        <v>6.961006162300694</v>
      </c>
    </row>
    <row r="32" spans="1:7" ht="15" x14ac:dyDescent="0.25">
      <c r="A32" s="155">
        <f>'Levelized PV Rev Rqmt'!B34</f>
        <v>2046</v>
      </c>
      <c r="B32" s="153">
        <f>'Generation plant Input'!$D$9*0.95/(1.16)</f>
        <v>5.1676724137931034</v>
      </c>
      <c r="C32" s="150">
        <f>B32*'Avoided Supply Costs'!I34*1000</f>
        <v>2311501.0635350929</v>
      </c>
      <c r="D32" s="150">
        <f>C32/(1+'Levelized PV Rev Rqmt'!$H$1)^('Levelized PV Rev Rqmt'!B34-'Levelized PV Rev Rqmt'!$H$2)</f>
        <v>596009.18454839487</v>
      </c>
      <c r="E32" s="151">
        <f t="shared" si="0"/>
        <v>23201184.655093748</v>
      </c>
      <c r="F32" s="152">
        <f>C32/'Generation plant Input'!$D$5/10000</f>
        <v>8.3902034974050554</v>
      </c>
      <c r="G32" s="153">
        <f t="shared" si="1"/>
        <v>6.961006162300694</v>
      </c>
    </row>
    <row r="33" spans="1:7" ht="15" x14ac:dyDescent="0.25">
      <c r="A33" s="155">
        <f>'Levelized PV Rev Rqmt'!B35</f>
        <v>2047</v>
      </c>
      <c r="B33" s="153">
        <f>'Generation plant Input'!$D$9*0.95/(1.16)</f>
        <v>5.1676724137931034</v>
      </c>
      <c r="C33" s="150">
        <f>B33*'Avoided Supply Costs'!I35*1000</f>
        <v>2351085.8710132372</v>
      </c>
      <c r="D33" s="150">
        <f>C33/(1+'Levelized PV Rev Rqmt'!$H$1)^('Levelized PV Rev Rqmt'!B35-'Levelized PV Rev Rqmt'!$H$2)</f>
        <v>572928.77094290627</v>
      </c>
      <c r="E33" s="151">
        <f t="shared" si="0"/>
        <v>23774113.426036656</v>
      </c>
      <c r="F33" s="152">
        <f>C33/'Generation plant Input'!$D$5/10000</f>
        <v>8.5338870091224592</v>
      </c>
      <c r="G33" s="153">
        <f t="shared" si="1"/>
        <v>6.961006162300694</v>
      </c>
    </row>
    <row r="34" spans="1:7" ht="15" x14ac:dyDescent="0.25">
      <c r="A34" s="155">
        <f>'Levelized PV Rev Rqmt'!B36</f>
        <v>2048</v>
      </c>
      <c r="B34" s="153">
        <f>'Generation plant Input'!$D$9*0.95/(1.16)</f>
        <v>5.1676724137931034</v>
      </c>
      <c r="C34" s="150">
        <f>B34*'Avoided Supply Costs'!I36*1000</f>
        <v>2391348.5743434755</v>
      </c>
      <c r="D34" s="150">
        <f>C34/(1+'Levelized PV Rev Rqmt'!$H$1)^('Levelized PV Rev Rqmt'!B36-'Levelized PV Rev Rqmt'!$H$2)</f>
        <v>550742.14472528175</v>
      </c>
      <c r="E34" s="151">
        <f t="shared" si="0"/>
        <v>24324855.570761938</v>
      </c>
      <c r="F34" s="152">
        <f>C34/'Generation plant Input'!$D$5/10000</f>
        <v>8.6800311228438307</v>
      </c>
      <c r="G34" s="153">
        <f t="shared" si="1"/>
        <v>6.961006162300694</v>
      </c>
    </row>
    <row r="35" spans="1:7" ht="15" x14ac:dyDescent="0.25">
      <c r="A35" s="155">
        <f>'Levelized PV Rev Rqmt'!B37</f>
        <v>2049</v>
      </c>
      <c r="B35" s="153">
        <f>'Generation plant Input'!$D$9*0.95/(1.16)</f>
        <v>5.1676724137931034</v>
      </c>
      <c r="C35" s="150">
        <f>B35*'Avoided Supply Costs'!I37*1000</f>
        <v>2432300.782595438</v>
      </c>
      <c r="D35" s="150">
        <f>C35/(1+'Levelized PV Rev Rqmt'!$H$1)^('Levelized PV Rev Rqmt'!B37-'Levelized PV Rev Rqmt'!$H$2)</f>
        <v>529414.69404200919</v>
      </c>
      <c r="E35" s="151">
        <f t="shared" si="0"/>
        <v>24854270.264803946</v>
      </c>
      <c r="F35" s="152">
        <f>C35/'Generation plant Input'!$D$5/10000</f>
        <v>8.8286779767529495</v>
      </c>
      <c r="G35" s="153">
        <f t="shared" si="1"/>
        <v>6.961006162300694</v>
      </c>
    </row>
    <row r="36" spans="1:7" ht="15" x14ac:dyDescent="0.25">
      <c r="A36" s="155">
        <f>'Levelized PV Rev Rqmt'!B38</f>
        <v>2050</v>
      </c>
      <c r="B36" s="153">
        <f>'Generation plant Input'!$D$9*0.95/(1.16)</f>
        <v>5.1676724137931034</v>
      </c>
      <c r="C36" s="150">
        <f>B36*'Avoided Supply Costs'!I38*1000</f>
        <v>2473954.3036458376</v>
      </c>
      <c r="D36" s="150">
        <f>C36/(1+'Levelized PV Rev Rqmt'!$H$1)^('Levelized PV Rev Rqmt'!B38-'Levelized PV Rev Rqmt'!$H$2)</f>
        <v>508913.14738116146</v>
      </c>
      <c r="E36" s="151">
        <f t="shared" si="0"/>
        <v>25363183.412185106</v>
      </c>
      <c r="F36" s="152">
        <f>C36/'Generation plant Input'!$D$5/10000</f>
        <v>8.9798704306563977</v>
      </c>
      <c r="G36" s="153">
        <f t="shared" si="1"/>
        <v>6.961006162300694</v>
      </c>
    </row>
    <row r="37" spans="1:7" ht="15" x14ac:dyDescent="0.25">
      <c r="A37" s="155">
        <f>'Levelized PV Rev Rqmt'!B39</f>
        <v>2051</v>
      </c>
      <c r="B37" s="153">
        <f>'Generation plant Input'!$D$9*0.95/(1.16)</f>
        <v>5.1676724137931034</v>
      </c>
      <c r="C37" s="150">
        <f>B37*'Avoided Supply Costs'!I39*1000</f>
        <v>2516321.1475830739</v>
      </c>
      <c r="D37" s="150">
        <f>C37/(1+'Levelized PV Rev Rqmt'!$H$1)^('Levelized PV Rev Rqmt'!B39-'Levelized PV Rev Rqmt'!$H$2)</f>
        <v>489205.52166776202</v>
      </c>
      <c r="E37" s="151">
        <f t="shared" si="0"/>
        <v>25852388.93385287</v>
      </c>
      <c r="F37" s="152">
        <f>C37/'Generation plant Input'!$D$5/10000</f>
        <v>9.1336520783414663</v>
      </c>
      <c r="G37" s="153">
        <f t="shared" si="1"/>
        <v>6.961006162300694</v>
      </c>
    </row>
    <row r="38" spans="1:7" ht="15" x14ac:dyDescent="0.25">
      <c r="A38" s="155">
        <f>'Levelized PV Rev Rqmt'!B40</f>
        <v>2052</v>
      </c>
      <c r="B38" s="153">
        <f>'Generation plant Input'!$D$9*0.95/(1.16)</f>
        <v>5.1676724137931034</v>
      </c>
      <c r="C38" s="150">
        <f>B38*'Avoided Supply Costs'!I40*1000</f>
        <v>2559413.530170138</v>
      </c>
      <c r="D38" s="150">
        <f>C38/(1+'Levelized PV Rev Rqmt'!$H$1)^('Levelized PV Rev Rqmt'!B40-'Levelized PV Rev Rqmt'!$H$2)</f>
        <v>470261.07236915582</v>
      </c>
      <c r="E38" s="151">
        <f t="shared" si="0"/>
        <v>26322650.006222025</v>
      </c>
      <c r="F38" s="152">
        <f>C38/'Generation plant Input'!$D$5/10000</f>
        <v>9.2900672601456922</v>
      </c>
      <c r="G38" s="153">
        <f t="shared" si="1"/>
        <v>6.961006162300694</v>
      </c>
    </row>
    <row r="39" spans="1:7" ht="15" x14ac:dyDescent="0.25">
      <c r="A39" s="155">
        <f>'Levelized PV Rev Rqmt'!B41</f>
        <v>2053</v>
      </c>
      <c r="B39" s="153">
        <f>'Generation plant Input'!$D$9*0.95/(1.16)</f>
        <v>5.1676724137931034</v>
      </c>
      <c r="C39" s="150">
        <f>B39*'Avoided Supply Costs'!I41*1000</f>
        <v>2603243.8763668207</v>
      </c>
      <c r="D39" s="150">
        <f>C39/(1+'Levelized PV Rev Rqmt'!$H$1)^('Levelized PV Rev Rqmt'!B41-'Levelized PV Rev Rqmt'!$H$2)</f>
        <v>452050.24553254462</v>
      </c>
      <c r="E39" s="151">
        <f t="shared" si="0"/>
        <v>26774700.251754571</v>
      </c>
      <c r="F39" s="152">
        <f>C39/'Generation plant Input'!$D$5/10000</f>
        <v>9.4491610757416353</v>
      </c>
      <c r="G39" s="153">
        <f t="shared" si="1"/>
        <v>6.961006162300694</v>
      </c>
    </row>
    <row r="40" spans="1:7" ht="15" x14ac:dyDescent="0.25">
      <c r="A40" s="155">
        <f>'Levelized PV Rev Rqmt'!B42</f>
        <v>2054</v>
      </c>
      <c r="B40" s="153">
        <f>'Generation plant Input'!$D$9*0.95/(1.16)</f>
        <v>5.1676724137931034</v>
      </c>
      <c r="C40" s="150">
        <f>B40*'Avoided Supply Costs'!I42*1000</f>
        <v>2647824.8239122396</v>
      </c>
      <c r="D40" s="150">
        <f>C40/(1+'Levelized PV Rev Rqmt'!$H$1)^('Levelized PV Rev Rqmt'!B42-'Levelized PV Rev Rqmt'!$H$2)</f>
        <v>434544.6316798664</v>
      </c>
      <c r="E40" s="151">
        <f t="shared" si="0"/>
        <v>27209244.883434437</v>
      </c>
      <c r="F40" s="152">
        <f>C40/'Generation plant Input'!$D$5/10000</f>
        <v>9.6109793971406159</v>
      </c>
      <c r="G40" s="153">
        <f t="shared" si="1"/>
        <v>6.961006162300694</v>
      </c>
    </row>
    <row r="41" spans="1:7" ht="15" x14ac:dyDescent="0.25">
      <c r="A41" s="155">
        <f>'Levelized PV Rev Rqmt'!B43</f>
        <v>2055</v>
      </c>
      <c r="B41" s="153">
        <f>'Generation plant Input'!$D$9*0.95/(1.16)</f>
        <v>5.1676724137931034</v>
      </c>
      <c r="C41" s="150">
        <f>B41*'Avoided Supply Costs'!I43*1000</f>
        <v>2693169.2269687196</v>
      </c>
      <c r="D41" s="150">
        <f>C41/(1+'Levelized PV Rev Rqmt'!$H$1)^('Levelized PV Rev Rqmt'!B43-'Levelized PV Rev Rqmt'!$H$2)</f>
        <v>417716.92148809228</v>
      </c>
      <c r="E41" s="151">
        <f t="shared" si="0"/>
        <v>27626961.804922529</v>
      </c>
      <c r="F41" s="152">
        <f>C41/'Generation plant Input'!$D$5/10000</f>
        <v>9.7755688819191278</v>
      </c>
      <c r="G41" s="153">
        <f t="shared" si="1"/>
        <v>6.961006162300694</v>
      </c>
    </row>
    <row r="42" spans="1:7" ht="15" x14ac:dyDescent="0.25">
      <c r="A42" s="155">
        <f>'Levelized PV Rev Rqmt'!B44</f>
        <v>2056</v>
      </c>
      <c r="B42" s="153">
        <f>'Generation plant Input'!$D$9*0.95/(1.16)</f>
        <v>5.1676724137931034</v>
      </c>
      <c r="C42" s="150">
        <f>B42*'Avoided Supply Costs'!I44*1000</f>
        <v>2739290.1598280701</v>
      </c>
      <c r="D42" s="150">
        <f>C42/(1+'Levelized PV Rev Rqmt'!$H$1)^('Levelized PV Rev Rqmt'!B44-'Levelized PV Rev Rqmt'!$H$2)</f>
        <v>401540.86318579991</v>
      </c>
      <c r="E42" s="151">
        <f t="shared" si="0"/>
        <v>28028502.668108329</v>
      </c>
      <c r="F42" s="152">
        <f>C42/'Generation plant Input'!$D$5/10000</f>
        <v>9.9429769866717592</v>
      </c>
      <c r="G42" s="153">
        <f t="shared" si="1"/>
        <v>6.961006162300694</v>
      </c>
    </row>
    <row r="43" spans="1:7" ht="15" x14ac:dyDescent="0.25">
      <c r="A43" s="155">
        <f>'Levelized PV Rev Rqmt'!B45</f>
        <v>2057</v>
      </c>
      <c r="B43" s="153">
        <f>'Generation plant Input'!$D$9*0.95/(1.16)</f>
        <v>5.1676724137931034</v>
      </c>
      <c r="C43" s="150">
        <f>B43*'Avoided Supply Costs'!I45*1000</f>
        <v>2786200.9206813383</v>
      </c>
      <c r="D43" s="150">
        <f>C43/(1+'Levelized PV Rev Rqmt'!$H$1)^('Levelized PV Rev Rqmt'!B45-'Levelized PV Rev Rqmt'!$H$2)</f>
        <v>385991.22159956256</v>
      </c>
      <c r="E43" s="151">
        <f t="shared" si="0"/>
        <v>28414493.889707893</v>
      </c>
      <c r="F43" s="152">
        <f>C43/'Generation plant Input'!$D$5/10000</f>
        <v>10.113251980694512</v>
      </c>
      <c r="G43" s="153">
        <f t="shared" si="1"/>
        <v>6.961006162300694</v>
      </c>
    </row>
    <row r="44" spans="1:7" ht="15" x14ac:dyDescent="0.25">
      <c r="A44" s="155">
        <f>'Levelized PV Rev Rqmt'!B46</f>
        <v>2058</v>
      </c>
      <c r="B44" s="153">
        <f>'Generation plant Input'!$D$9*0.95/(1.16)</f>
        <v>5.1676724137931034</v>
      </c>
      <c r="C44" s="150">
        <f>B44*'Avoided Supply Costs'!I46*1000</f>
        <v>2833915.0354531156</v>
      </c>
      <c r="D44" s="150">
        <f>C44/(1+'Levelized PV Rev Rqmt'!$H$1)^('Levelized PV Rev Rqmt'!B46-'Levelized PV Rev Rqmt'!$H$2)</f>
        <v>371043.73878626316</v>
      </c>
      <c r="E44" s="151">
        <f t="shared" si="0"/>
        <v>28785537.628494155</v>
      </c>
      <c r="F44" s="152">
        <f>C44/'Generation plant Input'!$D$5/10000</f>
        <v>10.286442959902415</v>
      </c>
      <c r="G44" s="153">
        <f t="shared" si="1"/>
        <v>6.961006162300694</v>
      </c>
    </row>
    <row r="45" spans="1:7" ht="15" x14ac:dyDescent="0.25">
      <c r="A45" s="155">
        <f>'Levelized PV Rev Rqmt'!B47</f>
        <v>2059</v>
      </c>
      <c r="B45" s="153">
        <f>'Generation plant Input'!$D$9*0.95/(1.16)</f>
        <v>5.1676724137931034</v>
      </c>
      <c r="C45" s="150">
        <f>B45*'Avoided Supply Costs'!I47*1000</f>
        <v>2882446.2617015122</v>
      </c>
      <c r="D45" s="150">
        <f>C45/(1+'Levelized PV Rev Rqmt'!$H$1)^('Levelized PV Rev Rqmt'!B47-'Levelized PV Rev Rqmt'!$H$2)</f>
        <v>356675.09618992009</v>
      </c>
      <c r="E45" s="151">
        <f t="shared" si="0"/>
        <v>29142212.724684075</v>
      </c>
      <c r="F45" s="152">
        <f>C45/'Generation plant Input'!$D$5/10000</f>
        <v>10.462599860985526</v>
      </c>
      <c r="G45" s="153">
        <f t="shared" si="1"/>
        <v>6.961006162300694</v>
      </c>
    </row>
    <row r="46" spans="1:7" ht="15" x14ac:dyDescent="0.25">
      <c r="A46" s="155">
        <f>'Levelized PV Rev Rqmt'!B48</f>
        <v>2060</v>
      </c>
      <c r="B46" s="153">
        <f>'Generation plant Input'!$D$9*0.95/(1.16)</f>
        <v>5.1676724137931034</v>
      </c>
      <c r="C46" s="150">
        <f>B46*'Avoided Supply Costs'!I48*1000</f>
        <v>2931808.5925849127</v>
      </c>
      <c r="D46" s="150">
        <f>C46/(1+'Levelized PV Rev Rqmt'!$H$1)^('Levelized PV Rev Rqmt'!B48-'Levelized PV Rev Rqmt'!$H$2)</f>
        <v>342862.87826398591</v>
      </c>
      <c r="E46" s="151">
        <f t="shared" si="0"/>
        <v>29485075.602948062</v>
      </c>
      <c r="F46" s="152">
        <f>C46/'Generation plant Input'!$D$5/10000</f>
        <v>10.641773475807305</v>
      </c>
      <c r="G46" s="153">
        <f t="shared" si="1"/>
        <v>6.961006162300694</v>
      </c>
    </row>
    <row r="47" spans="1:7" ht="15" x14ac:dyDescent="0.25">
      <c r="A47" s="155">
        <f>'Levelized PV Rev Rqmt'!B49</f>
        <v>2061</v>
      </c>
      <c r="B47" s="153">
        <f>'Generation plant Input'!$D$9*0.95/(1.16)</f>
        <v>5.1676724137931034</v>
      </c>
      <c r="C47" s="150">
        <f>B47*'Avoided Supply Costs'!I49*1000</f>
        <v>2982016.2608966697</v>
      </c>
      <c r="D47" s="150">
        <f>C47/(1+'Levelized PV Rev Rqmt'!$H$1)^('Levelized PV Rev Rqmt'!B49-'Levelized PV Rev Rqmt'!$H$2)</f>
        <v>329585.53750237136</v>
      </c>
      <c r="E47" s="151">
        <f t="shared" si="0"/>
        <v>29814661.140450433</v>
      </c>
      <c r="F47" s="152">
        <f>C47/'Generation plant Input'!$D$5/10000</f>
        <v>10.824015466049618</v>
      </c>
      <c r="G47" s="153">
        <f t="shared" si="1"/>
        <v>6.961006162300694</v>
      </c>
    </row>
    <row r="48" spans="1:7" ht="15" x14ac:dyDescent="0.25">
      <c r="A48" s="155">
        <f>'Levelized PV Rev Rqmt'!B50</f>
        <v>2062</v>
      </c>
      <c r="B48" s="153">
        <f>'Generation plant Input'!$D$9*0.95/(1.16)</f>
        <v>5.1676724137931034</v>
      </c>
      <c r="C48" s="150">
        <f>B48*'Avoided Supply Costs'!I50*1000</f>
        <v>3033083.7431688872</v>
      </c>
      <c r="D48" s="150">
        <f>C48/(1+'Levelized PV Rev Rqmt'!$H$1)^('Levelized PV Rev Rqmt'!B50-'Levelized PV Rev Rqmt'!$H$2)</f>
        <v>316822.36082463962</v>
      </c>
      <c r="E48" s="151">
        <f t="shared" si="0"/>
        <v>30131483.501275074</v>
      </c>
      <c r="F48" s="152">
        <f>C48/'Generation plant Input'!$D$5/10000</f>
        <v>11.009378378108483</v>
      </c>
      <c r="G48" s="153">
        <f t="shared" si="1"/>
        <v>6.961006162300694</v>
      </c>
    </row>
    <row r="49" spans="1:7" ht="15" x14ac:dyDescent="0.25">
      <c r="A49" s="155">
        <f>'Levelized PV Rev Rqmt'!B51</f>
        <v>2063</v>
      </c>
      <c r="B49" s="153">
        <f>'Generation plant Input'!$D$9*0.95/(1.16)</f>
        <v>5.1676724137931034</v>
      </c>
      <c r="C49" s="150">
        <f>B49*'Avoided Supply Costs'!I51*1000</f>
        <v>3085025.7638464859</v>
      </c>
      <c r="D49" s="150">
        <f>C49/(1+'Levelized PV Rev Rqmt'!$H$1)^('Levelized PV Rev Rqmt'!B51-'Levelized PV Rev Rqmt'!$H$2)</f>
        <v>304553.4372629319</v>
      </c>
      <c r="E49" s="151">
        <f t="shared" si="0"/>
        <v>30436036.938538007</v>
      </c>
      <c r="F49" s="152">
        <f>C49/'Generation plant Input'!$D$5/10000</f>
        <v>11.197915658244957</v>
      </c>
      <c r="G49" s="153">
        <f t="shared" si="1"/>
        <v>6.961006162300694</v>
      </c>
    </row>
    <row r="50" spans="1:7" ht="15" x14ac:dyDescent="0.25">
      <c r="A50" s="155">
        <f>'Levelized PV Rev Rqmt'!B52</f>
        <v>2064</v>
      </c>
      <c r="B50" s="153">
        <f>'Generation plant Input'!$D$9*0.95/(1.16)</f>
        <v>5.1676724137931034</v>
      </c>
      <c r="C50" s="150">
        <f>B50*'Avoided Supply Costs'!I52*1000</f>
        <v>3137857.2995327441</v>
      </c>
      <c r="D50" s="150">
        <f>C50/(1+'Levelized PV Rev Rqmt'!$H$1)^('Levelized PV Rev Rqmt'!B52-'Levelized PV Rev Rqmt'!$H$2)</f>
        <v>292759.62690021441</v>
      </c>
      <c r="E50" s="151">
        <f t="shared" si="0"/>
        <v>30728796.565438222</v>
      </c>
      <c r="F50" s="152">
        <f>C50/'Generation plant Input'!$D$5/10000</f>
        <v>11.389681667995442</v>
      </c>
      <c r="G50" s="153">
        <f t="shared" si="1"/>
        <v>6.961006162300694</v>
      </c>
    </row>
    <row r="51" spans="1:7" ht="15" x14ac:dyDescent="0.25">
      <c r="A51" s="155">
        <f>'Levelized PV Rev Rqmt'!B53</f>
        <v>2065</v>
      </c>
      <c r="B51" s="153">
        <f>'Generation plant Input'!$D$9*0.95/(1.16)</f>
        <v>5.1676724137931034</v>
      </c>
      <c r="C51" s="150">
        <f>B51*'Avoided Supply Costs'!I53*1000</f>
        <v>3191593.5833075526</v>
      </c>
      <c r="D51" s="150">
        <f>C51/(1+'Levelized PV Rev Rqmt'!$H$1)^('Levelized PV Rev Rqmt'!B53-'Levelized PV Rev Rqmt'!$H$2)</f>
        <v>281422.53101138951</v>
      </c>
      <c r="E51" s="151">
        <f t="shared" si="0"/>
        <v>31010219.09644961</v>
      </c>
      <c r="F51" s="152">
        <f>C51/'Generation plant Input'!$D$5/10000</f>
        <v>11.584731699845925</v>
      </c>
      <c r="G51" s="153">
        <f t="shared" si="1"/>
        <v>6.961006162300694</v>
      </c>
    </row>
    <row r="52" spans="1:7" ht="15" x14ac:dyDescent="0.25">
      <c r="A52" s="155">
        <f>'Levelized PV Rev Rqmt'!B54</f>
        <v>2066</v>
      </c>
      <c r="B52" s="153">
        <f>'Generation plant Input'!$D$9*0.95/(1.16)</f>
        <v>5.1676724137931034</v>
      </c>
      <c r="C52" s="150">
        <f>B52*'Avoided Supply Costs'!I54*1000</f>
        <v>3246250.1091196132</v>
      </c>
      <c r="D52" s="150">
        <f>C52/(1+'Levelized PV Rev Rqmt'!$H$1)^('Levelized PV Rev Rqmt'!B54-'Levelized PV Rev Rqmt'!$H$2)</f>
        <v>270524.46336069069</v>
      </c>
      <c r="E52" s="151">
        <f t="shared" si="0"/>
        <v>31280743.559810299</v>
      </c>
      <c r="F52" s="152">
        <f>C52/'Generation plant Input'!$D$5/10000</f>
        <v>11.783121993174639</v>
      </c>
      <c r="G52" s="153">
        <f t="shared" si="1"/>
        <v>6.961006162300694</v>
      </c>
    </row>
    <row r="53" spans="1:7" ht="15" x14ac:dyDescent="0.25">
      <c r="A53" s="155">
        <f>'Levelized PV Rev Rqmt'!B55</f>
        <v>2067</v>
      </c>
      <c r="B53" s="153">
        <f>'Generation plant Input'!$D$9*0.95/(1.16)</f>
        <v>5.1676724137931034</v>
      </c>
      <c r="C53" s="150">
        <f>B53*'Avoided Supply Costs'!I55*1000</f>
        <v>3301842.6362538557</v>
      </c>
      <c r="D53" s="150">
        <f>C53/(1+'Levelized PV Rev Rqmt'!$H$1)^('Levelized PV Rev Rqmt'!B55-'Levelized PV Rev Rqmt'!$H$2)</f>
        <v>260048.42261058278</v>
      </c>
      <c r="E53" s="151">
        <f t="shared" si="0"/>
        <v>31540791.982420884</v>
      </c>
      <c r="F53" s="152">
        <f>C53/'Generation plant Input'!$D$5/10000</f>
        <v>11.984909750467715</v>
      </c>
      <c r="G53" s="153">
        <f t="shared" si="1"/>
        <v>6.961006162300694</v>
      </c>
    </row>
    <row r="54" spans="1:7" ht="15" x14ac:dyDescent="0.25">
      <c r="A54" s="155">
        <f>'Levelized PV Rev Rqmt'!B56</f>
        <v>2068</v>
      </c>
      <c r="B54" s="153">
        <f>'Generation plant Input'!$D$9*0.95/(1.16)</f>
        <v>5.1676724137931034</v>
      </c>
      <c r="C54" s="150">
        <f>B54*'Avoided Supply Costs'!I56*1000</f>
        <v>3358387.1938753636</v>
      </c>
      <c r="D54" s="150">
        <f>C54/(1+'Levelized PV Rev Rqmt'!$H$1)^('Levelized PV Rev Rqmt'!B56-'Levelized PV Rev Rqmt'!$H$2)</f>
        <v>249978.06579912698</v>
      </c>
      <c r="E54" s="151">
        <f t="shared" si="0"/>
        <v>31790770.048220012</v>
      </c>
      <c r="F54" s="152">
        <f>C54/'Generation plant Input'!$D$5/10000</f>
        <v>12.19015315381257</v>
      </c>
      <c r="G54" s="153">
        <f t="shared" si="1"/>
        <v>6.961006162300694</v>
      </c>
    </row>
    <row r="55" spans="1:7" ht="15" x14ac:dyDescent="0.25">
      <c r="A55" s="155">
        <f>'Levelized PV Rev Rqmt'!B57</f>
        <v>2069</v>
      </c>
      <c r="B55" s="153">
        <f>'Generation plant Input'!$D$9*0.95/(1.16)</f>
        <v>5.1676724137931034</v>
      </c>
      <c r="C55" s="150">
        <f>B55*'Avoided Supply Costs'!I57*1000</f>
        <v>3415900.0856511123</v>
      </c>
      <c r="D55" s="150">
        <f>C55/(1+'Levelized PV Rev Rqmt'!$H$1)^('Levelized PV Rev Rqmt'!B57-'Levelized PV Rev Rqmt'!$H$2)</f>
        <v>240297.6828444321</v>
      </c>
      <c r="E55" s="151">
        <f t="shared" si="0"/>
        <v>32031067.731064446</v>
      </c>
      <c r="F55" s="152">
        <f>C55/'Generation plant Input'!$D$5/10000</f>
        <v>12.398911381673729</v>
      </c>
      <c r="G55" s="153">
        <f t="shared" si="1"/>
        <v>6.961006162300694</v>
      </c>
    </row>
    <row r="56" spans="1:7" ht="15" x14ac:dyDescent="0.25">
      <c r="A56" s="155">
        <f>'Levelized PV Rev Rqmt'!B58</f>
        <v>2070</v>
      </c>
      <c r="B56" s="153">
        <f>'Generation plant Input'!$D$9*0.95/(1.16)</f>
        <v>5.1676724137931034</v>
      </c>
      <c r="C56" s="150">
        <f>B56*'Avoided Supply Costs'!I58*1000</f>
        <v>3474397.894450855</v>
      </c>
      <c r="D56" s="150">
        <f>C56/(1+'Levelized PV Rev Rqmt'!$H$1)^('Levelized PV Rev Rqmt'!B58-'Levelized PV Rev Rqmt'!$H$2)</f>
        <v>230992.17203641933</v>
      </c>
      <c r="E56" s="151">
        <f t="shared" si="0"/>
        <v>32262059.903100867</v>
      </c>
      <c r="F56" s="152">
        <f>C56/'Generation plant Input'!$D$5/10000</f>
        <v>12.611244625955916</v>
      </c>
      <c r="G56" s="153">
        <f t="shared" si="1"/>
        <v>6.961006162300694</v>
      </c>
    </row>
    <row r="57" spans="1:7" ht="15" x14ac:dyDescent="0.25">
      <c r="A57" s="155">
        <f>'Levelized PV Rev Rqmt'!B59</f>
        <v>2071</v>
      </c>
      <c r="B57" s="153">
        <f>'Generation plant Input'!$D$9*0.95/(1.16)</f>
        <v>5.1676724137931034</v>
      </c>
      <c r="C57" s="150">
        <f>B57*'Avoided Supply Costs'!I59*1000</f>
        <v>3533897.4871285111</v>
      </c>
      <c r="D57" s="150">
        <f>C57/(1+'Levelized PV Rev Rqmt'!$H$1)^('Levelized PV Rev Rqmt'!B59-'Levelized PV Rev Rqmt'!$H$2)</f>
        <v>222047.01647766665</v>
      </c>
      <c r="E57" s="151">
        <f t="shared" si="0"/>
        <v>32484106.919578534</v>
      </c>
      <c r="F57" s="152">
        <f>C57/'Generation plant Input'!$D$5/10000</f>
        <v>12.827214109359387</v>
      </c>
      <c r="G57" s="153">
        <f t="shared" si="1"/>
        <v>6.961006162300694</v>
      </c>
    </row>
    <row r="58" spans="1:7" ht="15" x14ac:dyDescent="0.25">
      <c r="A58" s="155">
        <f>'Levelized PV Rev Rqmt'!B60</f>
        <v>2072</v>
      </c>
      <c r="B58" s="153">
        <f>'Generation plant Input'!$D$9*0.95/(1.16)</f>
        <v>5.1676724137931034</v>
      </c>
      <c r="C58" s="150">
        <f>B58*'Avoided Supply Costs'!I60*1000</f>
        <v>3594416.0193854421</v>
      </c>
      <c r="D58" s="150">
        <f>C58/(1+'Levelized PV Rev Rqmt'!$H$1)^('Levelized PV Rev Rqmt'!B60-'Levelized PV Rev Rqmt'!$H$2)</f>
        <v>213448.26143658024</v>
      </c>
      <c r="E58" s="151">
        <f t="shared" si="0"/>
        <v>32697555.181015115</v>
      </c>
      <c r="F58" s="152">
        <f>C58/'Generation plant Input'!$D$5/10000</f>
        <v>13.046882103032457</v>
      </c>
      <c r="G58" s="153">
        <f t="shared" si="1"/>
        <v>6.961006162300694</v>
      </c>
    </row>
    <row r="59" spans="1:7" ht="15" x14ac:dyDescent="0.25">
      <c r="A59" s="155">
        <f>'Levelized PV Rev Rqmt'!B61</f>
        <v>2073</v>
      </c>
      <c r="B59" s="153">
        <f>'Generation plant Input'!$D$9*0.95/(1.16)</f>
        <v>5.1676724137931034</v>
      </c>
      <c r="C59" s="150">
        <f>B59*'Avoided Supply Costs'!I61*1000</f>
        <v>3655970.940717007</v>
      </c>
      <c r="D59" s="150">
        <f>C59/(1+'Levelized PV Rev Rqmt'!$H$1)^('Levelized PV Rev Rqmt'!B61-'Levelized PV Rev Rqmt'!$H$2)</f>
        <v>205182.49257756246</v>
      </c>
      <c r="E59" s="151">
        <f t="shared" si="0"/>
        <v>32902737.673592679</v>
      </c>
      <c r="F59" s="152">
        <f>C59/'Generation plant Input'!$D$5/10000</f>
        <v>13.270311944526341</v>
      </c>
      <c r="G59" s="153">
        <f t="shared" si="1"/>
        <v>6.961006162300694</v>
      </c>
    </row>
    <row r="60" spans="1:7" ht="15" x14ac:dyDescent="0.25">
      <c r="A60" s="155">
        <f>'Levelized PV Rev Rqmt'!B62</f>
        <v>2074</v>
      </c>
      <c r="B60" s="153">
        <f>'Generation plant Input'!$D$9*0.95/(1.16)</f>
        <v>5.1676724137931034</v>
      </c>
      <c r="C60" s="150">
        <f>B60*'Avoided Supply Costs'!I62*1000</f>
        <v>3718579.9994438263</v>
      </c>
      <c r="D60" s="150">
        <f>C60/(1+'Levelized PV Rev Rqmt'!$H$1)^('Levelized PV Rev Rqmt'!B62-'Levelized PV Rev Rqmt'!$H$2)</f>
        <v>197236.81503421467</v>
      </c>
      <c r="E60" s="151">
        <f t="shared" si="0"/>
        <v>33099974.488626894</v>
      </c>
      <c r="F60" s="152">
        <f>C60/'Generation plant Input'!$D$5/10000</f>
        <v>13.497568056057446</v>
      </c>
      <c r="G60" s="153">
        <f t="shared" si="1"/>
        <v>6.961006162300694</v>
      </c>
    </row>
    <row r="61" spans="1:7" ht="15" x14ac:dyDescent="0.25">
      <c r="A61" s="155">
        <f>'Levelized PV Rev Rqmt'!B63</f>
        <v>2075</v>
      </c>
      <c r="B61" s="153">
        <f>'Generation plant Input'!$D$9*0.95/(1.16)</f>
        <v>5.1676724137931034</v>
      </c>
      <c r="C61" s="150">
        <f>B61*'Avoided Supply Costs'!I63*1000</f>
        <v>3782261.2478292119</v>
      </c>
      <c r="D61" s="150">
        <f>C61/(1+'Levelized PV Rev Rqmt'!$H$1)^('Levelized PV Rev Rqmt'!B63-'Levelized PV Rev Rqmt'!$H$2)</f>
        <v>189598.83329292943</v>
      </c>
      <c r="E61" s="151">
        <f t="shared" si="0"/>
        <v>33289573.321919821</v>
      </c>
      <c r="F61" s="152">
        <f>C61/'Generation plant Input'!$D$5/10000</f>
        <v>13.728715963082438</v>
      </c>
      <c r="G61" s="153">
        <f t="shared" si="1"/>
        <v>6.961006162300694</v>
      </c>
    </row>
    <row r="62" spans="1:7" ht="15" x14ac:dyDescent="0.25">
      <c r="A62" s="155">
        <f>'Levelized PV Rev Rqmt'!B64</f>
        <v>2076</v>
      </c>
      <c r="B62" s="153">
        <f>'Generation plant Input'!$D$9*0.95/(1.16)</f>
        <v>5.1676724137931034</v>
      </c>
      <c r="C62" s="150">
        <f>B62*'Avoided Supply Costs'!I64*1000</f>
        <v>3847033.0472842338</v>
      </c>
      <c r="D62" s="150">
        <f>C62/(1+'Levelized PV Rev Rqmt'!$H$1)^('Levelized PV Rev Rqmt'!B64-'Levelized PV Rev Rqmt'!$H$2)</f>
        <v>182256.63185548907</v>
      </c>
      <c r="E62" s="151">
        <f t="shared" si="0"/>
        <v>33471829.953775309</v>
      </c>
      <c r="F62" s="152">
        <f>C62/'Generation plant Input'!$D$5/10000</f>
        <v>13.963822313191409</v>
      </c>
      <c r="G62" s="153">
        <f t="shared" si="1"/>
        <v>6.961006162300694</v>
      </c>
    </row>
    <row r="63" spans="1:7" ht="15" x14ac:dyDescent="0.25">
      <c r="A63" s="155">
        <f>'Levelized PV Rev Rqmt'!B65</f>
        <v>2077</v>
      </c>
      <c r="B63" s="153">
        <f>'Generation plant Input'!$D$9*0.95/(1.16)</f>
        <v>5.1676724137931034</v>
      </c>
      <c r="C63" s="150">
        <f>B63*'Avoided Supply Costs'!I65*1000</f>
        <v>3912914.0736619201</v>
      </c>
      <c r="D63" s="150">
        <f>C63/(1+'Levelized PV Rev Rqmt'!$H$1)^('Levelized PV Rev Rqmt'!B65-'Levelized PV Rev Rqmt'!$H$2)</f>
        <v>175198.75665050323</v>
      </c>
      <c r="E63" s="151">
        <f t="shared" si="0"/>
        <v>33647028.710425809</v>
      </c>
      <c r="F63" s="152">
        <f>C63/'Generation plant Input'!$D$5/10000</f>
        <v>14.202954895324574</v>
      </c>
      <c r="G63" s="153">
        <f t="shared" si="1"/>
        <v>6.961006162300694</v>
      </c>
    </row>
    <row r="64" spans="1:7" ht="15" x14ac:dyDescent="0.25">
      <c r="A64" s="155">
        <f>'Levelized PV Rev Rqmt'!B66</f>
        <v>2078</v>
      </c>
      <c r="B64" s="153">
        <f>'Generation plant Input'!$D$9*0.95/(1.16)</f>
        <v>5.1676724137931034</v>
      </c>
      <c r="C64" s="150">
        <f>B64*'Avoided Supply Costs'!I66*1000</f>
        <v>3979923.3226421238</v>
      </c>
      <c r="D64" s="150">
        <f>C64/(1+'Levelized PV Rev Rqmt'!$H$1)^('Levelized PV Rev Rqmt'!B66-'Levelized PV Rev Rqmt'!$H$2)</f>
        <v>168414.19716468779</v>
      </c>
      <c r="E64" s="151">
        <f t="shared" si="0"/>
        <v>33815442.907590494</v>
      </c>
      <c r="F64" s="152">
        <f>C64/'Generation plant Input'!$D$5/10000</f>
        <v>14.446182659318053</v>
      </c>
      <c r="G64" s="153">
        <f t="shared" si="1"/>
        <v>6.961006162300694</v>
      </c>
    </row>
    <row r="65" spans="1:7" ht="15" x14ac:dyDescent="0.25">
      <c r="A65" s="155">
        <f>'Levelized PV Rev Rqmt'!B67</f>
        <v>2079</v>
      </c>
      <c r="B65" s="153">
        <f>'Generation plant Input'!$D$9*0.95/(1.16)</f>
        <v>5.1676724137931034</v>
      </c>
      <c r="C65" s="150">
        <f>B65*'Avoided Supply Costs'!I67*1000</f>
        <v>4048080.1152086062</v>
      </c>
      <c r="D65" s="150">
        <f>C65/(1+'Levelized PV Rev Rqmt'!$H$1)^('Levelized PV Rev Rqmt'!B67-'Levelized PV Rev Rqmt'!$H$2)</f>
        <v>161892.36926610835</v>
      </c>
      <c r="E65" s="151">
        <f t="shared" si="0"/>
        <v>33977335.276856601</v>
      </c>
      <c r="F65" s="152">
        <f>C65/'Generation plant Input'!$D$5/10000</f>
        <v>14.693575735784416</v>
      </c>
      <c r="G65" s="153">
        <f t="shared" si="1"/>
        <v>6.961006162300694</v>
      </c>
    </row>
    <row r="66" spans="1:7" ht="15" x14ac:dyDescent="0.25">
      <c r="A66" s="155">
        <f>'Levelized PV Rev Rqmt'!B68</f>
        <v>2080</v>
      </c>
      <c r="B66" s="153">
        <f>'Generation plant Input'!$D$9*0.95/(1.16)</f>
        <v>5.1676724137931034</v>
      </c>
      <c r="C66" s="150">
        <f>B66*'Avoided Supply Costs'!I68*1000</f>
        <v>4117404.1032199166</v>
      </c>
      <c r="D66" s="150">
        <f>C66/(1+'Levelized PV Rev Rqmt'!$H$1)^('Levelized PV Rev Rqmt'!B68-'Levelized PV Rev Rqmt'!$H$2)</f>
        <v>155623.09869259282</v>
      </c>
      <c r="E66" s="151">
        <f t="shared" si="0"/>
        <v>34132958.375549197</v>
      </c>
      <c r="F66" s="152">
        <f>C66/'Generation plant Input'!$D$5/10000</f>
        <v>14.945205456333637</v>
      </c>
      <c r="G66" s="153">
        <f t="shared" si="1"/>
        <v>6.961006162300694</v>
      </c>
    </row>
    <row r="67" spans="1:7" ht="15" x14ac:dyDescent="0.25">
      <c r="A67" s="155">
        <f>'Levelized PV Rev Rqmt'!B69</f>
        <v>2081</v>
      </c>
      <c r="B67" s="153">
        <f>'Generation plant Input'!$D$9*0.95/(1.16)</f>
        <v>5.1676724137931034</v>
      </c>
      <c r="C67" s="150">
        <f>B67*'Avoided Supply Costs'!I69*1000</f>
        <v>4187915.2750756703</v>
      </c>
      <c r="D67" s="150">
        <f>C67/(1+'Levelized PV Rev Rqmt'!$H$1)^('Levelized PV Rev Rqmt'!B69-'Levelized PV Rev Rqmt'!$H$2)</f>
        <v>149596.60517955336</v>
      </c>
      <c r="E67" s="151">
        <f t="shared" si="0"/>
        <v>34282554.980728753</v>
      </c>
      <c r="F67" s="152">
        <f>C67/'Generation plant Input'!$D$5/10000</f>
        <v>15.201144374140364</v>
      </c>
      <c r="G67" s="153">
        <f t="shared" si="1"/>
        <v>6.961006162300694</v>
      </c>
    </row>
    <row r="68" spans="1:7" ht="15" x14ac:dyDescent="0.25">
      <c r="A68" s="155">
        <f>'Levelized PV Rev Rqmt'!B70</f>
        <v>2082</v>
      </c>
      <c r="B68" s="153">
        <f>'Generation plant Input'!$D$9*0.95/(1.16)</f>
        <v>5.1676724137931034</v>
      </c>
      <c r="C68" s="150">
        <f>B68*'Avoided Supply Costs'!I70*1000</f>
        <v>4259633.9614798715</v>
      </c>
      <c r="D68" s="150">
        <f>C68/(1+'Levelized PV Rev Rqmt'!$H$1)^('Levelized PV Rev Rqmt'!B70-'Levelized PV Rev Rqmt'!$H$2)</f>
        <v>143803.48720245835</v>
      </c>
      <c r="E68" s="151">
        <f t="shared" si="0"/>
        <v>34426358.467931211</v>
      </c>
      <c r="F68" s="152">
        <f>C68/'Generation plant Input'!$D$5/10000</f>
        <v>15.461466284863418</v>
      </c>
      <c r="G68" s="153">
        <f t="shared" si="1"/>
        <v>6.961006162300694</v>
      </c>
    </row>
    <row r="69" spans="1:7" ht="15" x14ac:dyDescent="0.25">
      <c r="A69" s="155">
        <f>'Levelized PV Rev Rqmt'!B71</f>
        <v>2083</v>
      </c>
      <c r="B69" s="153">
        <f>'Generation plant Input'!$D$9*0.95/(1.16)</f>
        <v>5.1676724137931034</v>
      </c>
      <c r="C69" s="150">
        <f>B69*'Avoided Supply Costs'!I71*1000</f>
        <v>4332580.8413029211</v>
      </c>
      <c r="D69" s="150">
        <f>C69/(1+'Levelized PV Rev Rqmt'!$H$1)^('Levelized PV Rev Rqmt'!B71-'Levelized PV Rev Rqmt'!$H$2)</f>
        <v>138234.7073101498</v>
      </c>
      <c r="E69" s="151">
        <f t="shared" si="0"/>
        <v>34564593.175241359</v>
      </c>
      <c r="F69" s="152">
        <f>C69/'Generation plant Input'!$D$5/10000</f>
        <v>15.726246247923488</v>
      </c>
      <c r="G69" s="153">
        <f t="shared" si="1"/>
        <v>6.961006162300694</v>
      </c>
    </row>
    <row r="70" spans="1:7" ht="15" x14ac:dyDescent="0.25">
      <c r="A70" s="155">
        <f>'Levelized PV Rev Rqmt'!B72</f>
        <v>2084</v>
      </c>
      <c r="B70" s="153">
        <f>'Generation plant Input'!$D$9*0.95/(1.16)</f>
        <v>5.1676724137931034</v>
      </c>
      <c r="C70" s="150">
        <f>B70*'Avoided Supply Costs'!I72*1000</f>
        <v>4406776.9475440243</v>
      </c>
      <c r="D70" s="150">
        <f>C70/(1+'Levelized PV Rev Rqmt'!$H$1)^('Levelized PV Rev Rqmt'!B72-'Levelized PV Rev Rqmt'!$H$2)</f>
        <v>132881.57802612812</v>
      </c>
      <c r="E70" s="151">
        <f t="shared" si="0"/>
        <v>34697474.753267489</v>
      </c>
      <c r="F70" s="152">
        <f>C70/'Generation plant Input'!$D$5/10000</f>
        <v>15.995560608145277</v>
      </c>
      <c r="G70" s="153">
        <f t="shared" si="1"/>
        <v>6.961006162300694</v>
      </c>
    </row>
    <row r="71" spans="1:7" ht="15" x14ac:dyDescent="0.25">
      <c r="A71" s="155">
        <f>'Levelized PV Rev Rqmt'!B73</f>
        <v>2085</v>
      </c>
      <c r="B71" s="153">
        <f>'Generation plant Input'!$D$9*0.95/(1.16)</f>
        <v>5.1676724137931034</v>
      </c>
      <c r="C71" s="150">
        <f>B71*'Avoided Supply Costs'!I73*1000</f>
        <v>4482243.673395698</v>
      </c>
      <c r="D71" s="150">
        <f>C71/(1+'Levelized PV Rev Rqmt'!$H$1)^('Levelized PV Rev Rqmt'!B73-'Levelized PV Rev Rqmt'!$H$2)</f>
        <v>127735.74829580789</v>
      </c>
      <c r="E71" s="151">
        <f t="shared" si="0"/>
        <v>34825210.501563296</v>
      </c>
      <c r="F71" s="152">
        <f>C71/'Generation plant Input'!$D$5/10000</f>
        <v>16.269487017770228</v>
      </c>
      <c r="G71" s="153">
        <f t="shared" si="1"/>
        <v>6.961006162300694</v>
      </c>
    </row>
    <row r="72" spans="1:7" ht="15" x14ac:dyDescent="0.25">
      <c r="A72" s="155">
        <f>'Levelized PV Rev Rqmt'!B74</f>
        <v>2086</v>
      </c>
      <c r="B72" s="153">
        <f>'Generation plant Input'!$D$9*0.95/(1.16)</f>
        <v>5.1676724137931034</v>
      </c>
      <c r="C72" s="150">
        <f>B72*'Avoided Supply Costs'!I74*1000</f>
        <v>4559002.7784121362</v>
      </c>
      <c r="D72" s="150">
        <f>C72/(1+'Levelized PV Rev Rqmt'!$H$1)^('Levelized PV Rev Rqmt'!B74-'Levelized PV Rev Rqmt'!$H$2)</f>
        <v>122789.19045860322</v>
      </c>
      <c r="E72" s="151">
        <f t="shared" si="0"/>
        <v>34947999.692021899</v>
      </c>
      <c r="F72" s="152">
        <f>C72/'Generation plant Input'!$D$5/10000</f>
        <v>16.548104458846229</v>
      </c>
      <c r="G72" s="153">
        <f t="shared" si="1"/>
        <v>6.961006162300694</v>
      </c>
    </row>
    <row r="73" spans="1:7" ht="15" x14ac:dyDescent="0.25">
      <c r="A73" s="155">
        <f>'Levelized PV Rev Rqmt'!B75</f>
        <v>2087</v>
      </c>
      <c r="B73" s="153">
        <f>'Generation plant Input'!$D$9*0.95/(1.16)</f>
        <v>5.1676724137931034</v>
      </c>
      <c r="C73" s="150">
        <f>B73*'Avoided Supply Costs'!I75*1000</f>
        <v>4637076.3947832109</v>
      </c>
      <c r="D73" s="150">
        <f>C73/(1+'Levelized PV Rev Rqmt'!$H$1)^('Levelized PV Rev Rqmt'!B75-'Levelized PV Rev Rqmt'!$H$2)</f>
        <v>118034.18772451775</v>
      </c>
      <c r="E73" s="151">
        <f t="shared" ref="E73:E88" si="2">D73+E72</f>
        <v>35066033.879746415</v>
      </c>
      <c r="F73" s="152">
        <f>C73/'Generation plant Input'!$D$5/10000</f>
        <v>16.831493266000763</v>
      </c>
      <c r="G73" s="153">
        <f t="shared" si="1"/>
        <v>6.961006162300694</v>
      </c>
    </row>
    <row r="74" spans="1:7" ht="15" x14ac:dyDescent="0.25">
      <c r="A74" s="155">
        <f>'Levelized PV Rev Rqmt'!B76</f>
        <v>2088</v>
      </c>
      <c r="B74" s="153">
        <f>'Generation plant Input'!$D$9*0.95/(1.16)</f>
        <v>5.1676724137931034</v>
      </c>
      <c r="C74" s="150">
        <f>B74*'Avoided Supply Costs'!I76*1000</f>
        <v>4716487.033715914</v>
      </c>
      <c r="D74" s="150">
        <f>C74/(1+'Levelized PV Rev Rqmt'!$H$1)^('Levelized PV Rev Rqmt'!B76-'Levelized PV Rev Rqmt'!$H$2)</f>
        <v>113463.32213570313</v>
      </c>
      <c r="E74" s="151">
        <f t="shared" si="2"/>
        <v>35179497.201882116</v>
      </c>
      <c r="F74" s="152">
        <f>C74/'Generation plant Input'!$D$5/10000</f>
        <v>17.119735149604043</v>
      </c>
      <c r="G74" s="153">
        <f t="shared" ref="G74:G88" si="3">G73</f>
        <v>6.961006162300694</v>
      </c>
    </row>
    <row r="75" spans="1:7" ht="15" x14ac:dyDescent="0.25">
      <c r="A75" s="155">
        <f>'Levelized PV Rev Rqmt'!B77</f>
        <v>2089</v>
      </c>
      <c r="B75" s="153">
        <f>'Generation plant Input'!$D$9*0.95/(1.16)</f>
        <v>5.1676724137931034</v>
      </c>
      <c r="C75" s="150">
        <f>B75*'Avoided Supply Costs'!I77*1000</f>
        <v>4797257.5919250781</v>
      </c>
      <c r="D75" s="150">
        <f>C75/(1+'Levelized PV Rev Rqmt'!$H$1)^('Levelized PV Rev Rqmt'!B77-'Levelized PV Rev Rqmt'!$H$2)</f>
        <v>109069.46299420495</v>
      </c>
      <c r="E75" s="151">
        <f t="shared" si="2"/>
        <v>35288566.664876319</v>
      </c>
      <c r="F75" s="152">
        <f>C75/'Generation plant Input'!$D$5/10000</f>
        <v>17.412913219328779</v>
      </c>
      <c r="G75" s="153">
        <f t="shared" si="3"/>
        <v>6.961006162300694</v>
      </c>
    </row>
    <row r="76" spans="1:7" ht="15" x14ac:dyDescent="0.25">
      <c r="A76" s="155">
        <f>'Levelized PV Rev Rqmt'!B78</f>
        <v>2090</v>
      </c>
      <c r="B76" s="153">
        <f>'Generation plant Input'!$D$9*0.95/(1.16)</f>
        <v>5.1676724137931034</v>
      </c>
      <c r="C76" s="150">
        <f>B76*'Avoided Supply Costs'!I78*1000</f>
        <v>4879411.3582352689</v>
      </c>
      <c r="D76" s="150">
        <f>C76/(1+'Levelized PV Rev Rqmt'!$H$1)^('Levelized PV Rev Rqmt'!B78-'Levelized PV Rev Rqmt'!$H$2)</f>
        <v>104845.75573784407</v>
      </c>
      <c r="E76" s="151">
        <f t="shared" si="2"/>
        <v>35393412.420614161</v>
      </c>
      <c r="F76" s="152">
        <f>C76/'Generation plant Input'!$D$5/10000</f>
        <v>17.711112008113499</v>
      </c>
      <c r="G76" s="153">
        <f t="shared" si="3"/>
        <v>6.961006162300694</v>
      </c>
    </row>
    <row r="77" spans="1:7" ht="15" x14ac:dyDescent="0.25">
      <c r="A77" s="155">
        <f>'Levelized PV Rev Rqmt'!B79</f>
        <v>2091</v>
      </c>
      <c r="B77" s="153">
        <f>'Generation plant Input'!$D$9*0.95/(1.16)</f>
        <v>5.1676724137931034</v>
      </c>
      <c r="C77" s="150">
        <f>B77*'Avoided Supply Costs'!I79*1000</f>
        <v>4962972.020295714</v>
      </c>
      <c r="D77" s="150">
        <f>C77/(1+'Levelized PV Rev Rqmt'!$H$1)^('Levelized PV Rev Rqmt'!B79-'Levelized PV Rev Rqmt'!$H$2)</f>
        <v>100785.61124687783</v>
      </c>
      <c r="E77" s="151">
        <f t="shared" si="2"/>
        <v>35494198.031861037</v>
      </c>
      <c r="F77" s="152">
        <f>C77/'Generation plant Input'!$D$5/10000</f>
        <v>18.014417496536165</v>
      </c>
      <c r="G77" s="153">
        <f t="shared" si="3"/>
        <v>6.961006162300694</v>
      </c>
    </row>
    <row r="78" spans="1:7" ht="15" x14ac:dyDescent="0.25">
      <c r="A78" s="155">
        <f>'Levelized PV Rev Rqmt'!B80</f>
        <v>2092</v>
      </c>
      <c r="B78" s="153">
        <f>'Generation plant Input'!$D$9*0.95/(1.16)</f>
        <v>5.1676724137931034</v>
      </c>
      <c r="C78" s="150">
        <f>B78*'Avoided Supply Costs'!I80*1000</f>
        <v>5047963.6714102374</v>
      </c>
      <c r="D78" s="150">
        <f>C78/(1+'Levelized PV Rev Rqmt'!$H$1)^('Levelized PV Rev Rqmt'!B80-'Levelized PV Rev Rqmt'!$H$2)</f>
        <v>96882.695564760463</v>
      </c>
      <c r="E78" s="151">
        <f t="shared" si="2"/>
        <v>35591080.727425799</v>
      </c>
      <c r="F78" s="152">
        <f>C78/'Generation plant Input'!$D$5/10000</f>
        <v>18.322917137605216</v>
      </c>
      <c r="G78" s="153">
        <f t="shared" si="3"/>
        <v>6.961006162300694</v>
      </c>
    </row>
    <row r="79" spans="1:7" ht="15" x14ac:dyDescent="0.25">
      <c r="A79" s="155">
        <f>'Levelized PV Rev Rqmt'!B81</f>
        <v>2093</v>
      </c>
      <c r="B79" s="153">
        <f>'Generation plant Input'!$D$9*0.95/(1.16)</f>
        <v>5.1676724137931034</v>
      </c>
      <c r="C79" s="150">
        <f>B79*'Avoided Supply Costs'!I81*1000</f>
        <v>5134410.8174841581</v>
      </c>
      <c r="D79" s="150">
        <f>C79/(1+'Levelized PV Rev Rqmt'!$H$1)^('Levelized PV Rev Rqmt'!B81-'Levelized PV Rev Rqmt'!$H$2)</f>
        <v>93130.920016966484</v>
      </c>
      <c r="E79" s="151">
        <f t="shared" si="2"/>
        <v>35684211.647442766</v>
      </c>
      <c r="F79" s="152">
        <f>C79/'Generation plant Input'!$D$5/10000</f>
        <v>18.636699881975165</v>
      </c>
      <c r="G79" s="153">
        <f t="shared" si="3"/>
        <v>6.961006162300694</v>
      </c>
    </row>
    <row r="80" spans="1:7" ht="15" x14ac:dyDescent="0.25">
      <c r="A80" s="155">
        <f>'Levelized PV Rev Rqmt'!B82</f>
        <v>2094</v>
      </c>
      <c r="B80" s="153">
        <f>'Generation plant Input'!$D$9*0.95/(1.16)</f>
        <v>5.1676724137931034</v>
      </c>
      <c r="C80" s="150">
        <f>B80*'Avoided Supply Costs'!I82*1000</f>
        <v>5222338.3840901544</v>
      </c>
      <c r="D80" s="150">
        <f>C80/(1+'Levelized PV Rev Rqmt'!$H$1)^('Levelized PV Rev Rqmt'!B82-'Levelized PV Rev Rqmt'!$H$2)</f>
        <v>89524.431712461635</v>
      </c>
      <c r="E80" s="151">
        <f t="shared" si="2"/>
        <v>35773736.079155229</v>
      </c>
      <c r="F80" s="152">
        <f>C80/'Generation plant Input'!$D$5/10000</f>
        <v>18.955856203594028</v>
      </c>
      <c r="G80" s="153">
        <f t="shared" si="3"/>
        <v>6.961006162300694</v>
      </c>
    </row>
    <row r="81" spans="1:7" ht="15" x14ac:dyDescent="0.25">
      <c r="A81" s="155">
        <f>'Levelized PV Rev Rqmt'!B83</f>
        <v>2095</v>
      </c>
      <c r="B81" s="153">
        <f>'Generation plant Input'!$D$9*0.95/(1.16)</f>
        <v>5.1676724137931034</v>
      </c>
      <c r="C81" s="150">
        <f>B81*'Avoided Supply Costs'!I83*1000</f>
        <v>5311771.7236551279</v>
      </c>
      <c r="D81" s="150">
        <f>C81/(1+'Levelized PV Rev Rqmt'!$H$1)^('Levelized PV Rev Rqmt'!B83-'Levelized PV Rev Rqmt'!$H$2)</f>
        <v>86057.604413003879</v>
      </c>
      <c r="E81" s="151">
        <f t="shared" si="2"/>
        <v>35859793.683568232</v>
      </c>
      <c r="F81" s="152">
        <f>C81/'Generation plant Input'!$D$5/10000</f>
        <v>19.280478125789937</v>
      </c>
      <c r="G81" s="153">
        <f t="shared" si="3"/>
        <v>6.961006162300694</v>
      </c>
    </row>
    <row r="82" spans="1:7" ht="15" x14ac:dyDescent="0.25">
      <c r="A82" s="155">
        <f>'Levelized PV Rev Rqmt'!B84</f>
        <v>2096</v>
      </c>
      <c r="B82" s="153">
        <f>'Generation plant Input'!$D$9*0.95/(1.16)</f>
        <v>5.1676724137931034</v>
      </c>
      <c r="C82" s="150">
        <f>B82*'Avoided Supply Costs'!I84*1000</f>
        <v>5402736.6227701521</v>
      </c>
      <c r="D82" s="150">
        <f>C82/(1+'Levelized PV Rev Rqmt'!$H$1)^('Levelized PV Rev Rqmt'!B84-'Levelized PV Rev Rqmt'!$H$2)</f>
        <v>82725.029756030024</v>
      </c>
      <c r="E82" s="151">
        <f t="shared" si="2"/>
        <v>35942518.713324264</v>
      </c>
      <c r="F82" s="152">
        <f>C82/'Generation plant Input'!$D$5/10000</f>
        <v>19.610659247804545</v>
      </c>
      <c r="G82" s="153">
        <f t="shared" si="3"/>
        <v>6.961006162300694</v>
      </c>
    </row>
    <row r="83" spans="1:7" ht="15" x14ac:dyDescent="0.25">
      <c r="A83" s="155">
        <f>'Levelized PV Rev Rqmt'!B85</f>
        <v>2097</v>
      </c>
      <c r="B83" s="153">
        <f>'Generation plant Input'!$D$9*0.95/(1.16)</f>
        <v>5.1676724137931034</v>
      </c>
      <c r="C83" s="150">
        <f>B83*'Avoided Supply Costs'!I85*1000</f>
        <v>5495259.3096255921</v>
      </c>
      <c r="D83" s="150">
        <f>C83/(1+'Levelized PV Rev Rqmt'!$H$1)^('Levelized PV Rev Rqmt'!B85-'Levelized PV Rev Rqmt'!$H$2)</f>
        <v>79521.50881743533</v>
      </c>
      <c r="E83" s="151">
        <f t="shared" si="2"/>
        <v>36022040.222141698</v>
      </c>
      <c r="F83" s="152">
        <f>C83/'Generation plant Input'!$D$5/10000</f>
        <v>19.946494771780735</v>
      </c>
      <c r="G83" s="153">
        <f t="shared" si="3"/>
        <v>6.961006162300694</v>
      </c>
    </row>
    <row r="84" spans="1:7" ht="15" x14ac:dyDescent="0.25">
      <c r="A84" s="155">
        <f>'Levelized PV Rev Rqmt'!B86</f>
        <v>2098</v>
      </c>
      <c r="B84" s="153">
        <f>'Generation plant Input'!$D$9*0.95/(1.16)</f>
        <v>5.1676724137931034</v>
      </c>
      <c r="C84" s="150">
        <f>B84*'Avoided Supply Costs'!I86*1000</f>
        <v>5589366.46157357</v>
      </c>
      <c r="D84" s="150">
        <f>C84/(1+'Levelized PV Rev Rqmt'!$H$1)^('Levelized PV Rev Rqmt'!B86-'Levelized PV Rev Rqmt'!$H$2)</f>
        <v>76442.044001084199</v>
      </c>
      <c r="E84" s="151">
        <f t="shared" si="2"/>
        <v>36098482.266142786</v>
      </c>
      <c r="F84" s="152">
        <f>C84/'Generation plant Input'!$D$5/10000</f>
        <v>20.288081530212594</v>
      </c>
      <c r="G84" s="153">
        <f t="shared" si="3"/>
        <v>6.961006162300694</v>
      </c>
    </row>
    <row r="85" spans="1:7" ht="15" x14ac:dyDescent="0.25">
      <c r="A85" s="155">
        <f>'Levelized PV Rev Rqmt'!B87</f>
        <v>2099</v>
      </c>
      <c r="B85" s="153">
        <f>'Generation plant Input'!$D$9*0.95/(1.16)</f>
        <v>5.1676724137931034</v>
      </c>
      <c r="C85" s="150">
        <f>B85*'Avoided Supply Costs'!I87*1000</f>
        <v>5685085.212819919</v>
      </c>
      <c r="D85" s="150">
        <f>C85/(1+'Levelized PV Rev Rqmt'!$H$1)^('Levelized PV Rev Rqmt'!B87-'Levelized PV Rev Rqmt'!$H$2)</f>
        <v>73481.831242398563</v>
      </c>
      <c r="E85" s="151">
        <f t="shared" si="2"/>
        <v>36171964.097385183</v>
      </c>
      <c r="F85" s="152">
        <f>C85/'Generation plant Input'!$D$5/10000</f>
        <v>20.635518013865404</v>
      </c>
      <c r="G85" s="153">
        <f t="shared" si="3"/>
        <v>6.961006162300694</v>
      </c>
    </row>
    <row r="86" spans="1:7" ht="15" x14ac:dyDescent="0.25">
      <c r="A86" s="155">
        <f>'Levelized PV Rev Rqmt'!B88</f>
        <v>2100</v>
      </c>
      <c r="B86" s="153">
        <f>'Generation plant Input'!$D$9*0.95/(1.16)</f>
        <v>5.1676724137931034</v>
      </c>
      <c r="C86" s="150">
        <f>B86*'Avoided Supply Costs'!I88*1000</f>
        <v>5782443.1622478766</v>
      </c>
      <c r="D86" s="150">
        <f>C86/(1+'Levelized PV Rev Rqmt'!$H$1)^('Levelized PV Rev Rqmt'!B88-'Levelized PV Rev Rqmt'!$H$2)</f>
        <v>70636.252513862099</v>
      </c>
      <c r="E86" s="151">
        <f t="shared" si="2"/>
        <v>36242600.349899046</v>
      </c>
      <c r="F86" s="152">
        <f>C86/'Generation plant Input'!$D$5/10000</f>
        <v>20.98890440017378</v>
      </c>
      <c r="G86" s="153">
        <f t="shared" si="3"/>
        <v>6.961006162300694</v>
      </c>
    </row>
    <row r="87" spans="1:7" ht="15" x14ac:dyDescent="0.25">
      <c r="A87" s="155">
        <f>'Levelized PV Rev Rqmt'!B89</f>
        <v>2101</v>
      </c>
      <c r="B87" s="153">
        <f>'Generation plant Input'!$D$9*0.95/(1.16)</f>
        <v>5.1676724137931034</v>
      </c>
      <c r="C87" s="150">
        <f>B87*'Avoided Supply Costs'!I89*1000</f>
        <v>5881468.3813757589</v>
      </c>
      <c r="D87" s="150">
        <f>C87/(1+'Levelized PV Rev Rqmt'!$H$1)^('Levelized PV Rev Rqmt'!B89-'Levelized PV Rev Rqmt'!$H$2)</f>
        <v>67900.868620748151</v>
      </c>
      <c r="E87" s="151">
        <f t="shared" si="2"/>
        <v>36310501.218519792</v>
      </c>
      <c r="F87" s="152">
        <f>C87/'Generation plant Input'!$D$5/10000</f>
        <v>21.348342582126165</v>
      </c>
      <c r="G87" s="153">
        <f t="shared" si="3"/>
        <v>6.961006162300694</v>
      </c>
    </row>
    <row r="88" spans="1:7" ht="15" x14ac:dyDescent="0.25">
      <c r="A88" s="155">
        <f>'Levelized PV Rev Rqmt'!B90</f>
        <v>2102</v>
      </c>
      <c r="B88" s="153">
        <f>'Generation plant Input'!$D$9*0.95/(1.16)</f>
        <v>5.1676724137931034</v>
      </c>
      <c r="C88" s="150">
        <f>B88*'Avoided Supply Costs'!I90*1000</f>
        <v>5982189.422450901</v>
      </c>
      <c r="D88" s="150">
        <f>C88/(1+'Levelized PV Rev Rqmt'!$H$1)^('Levelized PV Rev Rqmt'!B90-'Levelized PV Rev Rqmt'!$H$2)</f>
        <v>65271.412275832445</v>
      </c>
      <c r="E88" s="151">
        <f t="shared" si="2"/>
        <v>36375772.630795628</v>
      </c>
      <c r="F88" s="152">
        <f>C88/'Generation plant Input'!$D$5/10000</f>
        <v>21.713936197643921</v>
      </c>
      <c r="G88" s="153">
        <f t="shared" si="3"/>
        <v>6.961006162300694</v>
      </c>
    </row>
  </sheetData>
  <mergeCells count="9">
    <mergeCell ref="A4:A6"/>
    <mergeCell ref="A1:G1"/>
    <mergeCell ref="A2:G2"/>
    <mergeCell ref="G4:G6"/>
    <mergeCell ref="F4:F6"/>
    <mergeCell ref="C4:C6"/>
    <mergeCell ref="D4:D6"/>
    <mergeCell ref="E4:E6"/>
    <mergeCell ref="B4:B6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ublished Document" ma:contentTypeID="0x01010087DDA8BE470AFE4993BEDB69BC0B40F6020100416FAB1096598B42ADE5F8B6C491A1CA" ma:contentTypeVersion="2" ma:contentTypeDescription="" ma:contentTypeScope="" ma:versionID="0dd43b5f94f50411b43b57dd855875e3">
  <xsd:schema xmlns:xsd="http://www.w3.org/2001/XMLSchema" xmlns:xs="http://www.w3.org/2001/XMLSchema" xmlns:p="http://schemas.microsoft.com/office/2006/metadata/properties" xmlns:ns2="bb9f5cce-8978-4b57-8055-abe6ee7aa763" xmlns:ns4="5597ee5d-860a-4dc4-a254-5ee33acc8624" targetNamespace="http://schemas.microsoft.com/office/2006/metadata/properties" ma:root="true" ma:fieldsID="555cc40ea5626875be99478412030c5f" ns2:_="" ns4:_="">
    <xsd:import namespace="bb9f5cce-8978-4b57-8055-abe6ee7aa763"/>
    <xsd:import namespace="5597ee5d-860a-4dc4-a254-5ee33acc8624"/>
    <xsd:element name="properties">
      <xsd:complexType>
        <xsd:sequence>
          <xsd:element name="documentManagement">
            <xsd:complexType>
              <xsd:all>
                <xsd:element ref="ns2:Project" minOccurs="0"/>
                <xsd:element ref="ns2:Published_x0020_Document_x0020_Status" minOccurs="0"/>
                <xsd:element ref="ns2:Published_x0020_Document_x0020_Type" minOccurs="0"/>
                <xsd:element ref="ns2:Notes1" minOccurs="0"/>
                <xsd:element ref="ns2:TopicTaxHTField0" minOccurs="0"/>
                <xsd:element ref="ns2:TaxCatchAll" minOccurs="0"/>
                <xsd:element ref="ns2:TaxCatchAllLabel" minOccurs="0"/>
                <xsd:element ref="ns2:Year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9f5cce-8978-4b57-8055-abe6ee7aa763" elementFormDefault="qualified">
    <xsd:import namespace="http://schemas.microsoft.com/office/2006/documentManagement/types"/>
    <xsd:import namespace="http://schemas.microsoft.com/office/infopath/2007/PartnerControls"/>
    <xsd:element name="Project" ma:index="2" nillable="true" ma:displayName="Project" ma:internalName="Project" ma:readOnly="false">
      <xsd:simpleType>
        <xsd:restriction base="dms:Text">
          <xsd:maxLength value="255"/>
        </xsd:restriction>
      </xsd:simpleType>
    </xsd:element>
    <xsd:element name="Published_x0020_Document_x0020_Status" ma:index="3" nillable="true" ma:displayName="Project Document Status" ma:format="Dropdown" ma:internalName="Published_x0020_Document_x0020_Status" ma:readOnly="false">
      <xsd:simpleType>
        <xsd:restriction base="dms:Choice">
          <xsd:enumeration value="In Progress"/>
          <xsd:enumeration value="Review 1"/>
          <xsd:enumeration value="Review 2"/>
          <xsd:enumeration value="QA"/>
          <xsd:enumeration value="Final"/>
          <xsd:enumeration value="Printed"/>
          <xsd:enumeration value="Filed"/>
        </xsd:restriction>
      </xsd:simpleType>
    </xsd:element>
    <xsd:element name="Published_x0020_Document_x0020_Type" ma:index="4" nillable="true" ma:displayName="Project Document Type" ma:format="Dropdown" ma:internalName="Published_x0020_Document_x0020_Type" ma:readOnly="false">
      <xsd:simpleType>
        <xsd:restriction base="dms:Choice">
          <xsd:enumeration value="Application"/>
          <xsd:enumeration value="Board Order"/>
          <xsd:enumeration value="Consent"/>
          <xsd:enumeration value="Correspondence"/>
          <xsd:enumeration value="Evidence"/>
          <xsd:enumeration value="Information Items"/>
          <xsd:enumeration value="Report"/>
          <xsd:enumeration value="RFI"/>
          <xsd:enumeration value="Submission"/>
          <xsd:enumeration value="Transcript"/>
          <xsd:enumeration value="Undertakings"/>
        </xsd:restriction>
      </xsd:simpleType>
    </xsd:element>
    <xsd:element name="Notes1" ma:index="6" nillable="true" ma:displayName="Notes" ma:internalName="Notes1">
      <xsd:simpleType>
        <xsd:restriction base="dms:Note">
          <xsd:maxLength value="255"/>
        </xsd:restriction>
      </xsd:simpleType>
    </xsd:element>
    <xsd:element name="TopicTaxHTField0" ma:index="12" nillable="true" ma:taxonomy="true" ma:internalName="TopicTaxHTField0" ma:taxonomyFieldName="Topic" ma:displayName="Topic" ma:default="" ma:fieldId="{558ad66f-b089-4a3a-8feb-a9e41c7aed94}" ma:sspId="33fd526b-707f-48d3-b7cc-ed83c8f3846b" ma:termSetId="62ab2a1e-220b-4075-9d06-763b2e80dea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fab70330-8919-4d01-9590-b96f69c7c55d}" ma:internalName="TaxCatchAll" ma:showField="CatchAllData" ma:web="bb9f5cce-8978-4b57-8055-abe6ee7aa7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hidden="true" ma:list="{fab70330-8919-4d01-9590-b96f69c7c55d}" ma:internalName="TaxCatchAllLabel" ma:readOnly="true" ma:showField="CatchAllDataLabel" ma:web="bb9f5cce-8978-4b57-8055-abe6ee7aa7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Year" ma:index="16" nillable="true" ma:displayName="Year" ma:internalName="Ye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97ee5d-860a-4dc4-a254-5ee33acc862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b9f5cce-8978-4b57-8055-abe6ee7aa763">&lt;div&gt;&lt;/div&gt;</Notes1>
    <TopicTaxHTField0 xmlns="bb9f5cce-8978-4b57-8055-abe6ee7aa7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Budget Inputs</TermName>
          <TermId xmlns="http://schemas.microsoft.com/office/infopath/2007/PartnerControls">a8fa5331-53ee-40db-8a55-c8874a9b4e02</TermId>
        </TermInfo>
      </Terms>
    </TopicTaxHTField0>
    <TaxCatchAll xmlns="bb9f5cce-8978-4b57-8055-abe6ee7aa763">
      <Value>46</Value>
    </TaxCatchAll>
    <Project xmlns="bb9f5cce-8978-4b57-8055-abe6ee7aa763">2022 CBA</Project>
    <Published_x0020_Document_x0020_Type xmlns="bb9f5cce-8978-4b57-8055-abe6ee7aa763" xsi:nil="true"/>
    <Published_x0020_Document_x0020_Status xmlns="bb9f5cce-8978-4b57-8055-abe6ee7aa763" xsi:nil="true"/>
    <Year xmlns="bb9f5cce-8978-4b57-8055-abe6ee7aa76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C24ED2-2EBC-4773-A325-A0C651E55100}"/>
</file>

<file path=customXml/itemProps2.xml><?xml version="1.0" encoding="utf-8"?>
<ds:datastoreItem xmlns:ds="http://schemas.openxmlformats.org/officeDocument/2006/customXml" ds:itemID="{332289BD-C98C-4799-8247-67ADFF7E228E}"/>
</file>

<file path=customXml/itemProps3.xml><?xml version="1.0" encoding="utf-8"?>
<ds:datastoreItem xmlns:ds="http://schemas.openxmlformats.org/officeDocument/2006/customXml" ds:itemID="{CAD0CF55-7D76-45E4-801E-6DB6D6592D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Input Capital &amp; Operating Costs</vt:lpstr>
      <vt:lpstr>Generation plant Input</vt:lpstr>
      <vt:lpstr>Avoided Supply Costs</vt:lpstr>
      <vt:lpstr>Escalation Sheet</vt:lpstr>
      <vt:lpstr>GEN 8%CCA</vt:lpstr>
      <vt:lpstr>Levelized PV Rev Rqmt</vt:lpstr>
      <vt:lpstr>Energy Benefit</vt:lpstr>
      <vt:lpstr>Capacity Benefit (R.O.R)</vt:lpstr>
      <vt:lpstr>Capacity Benefit (Dispatch)</vt:lpstr>
    </vt:vector>
  </TitlesOfParts>
  <Company>Newfoundland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NPV sheet for 2022 Capital Budgeting Proposals</dc:title>
  <dc:creator>Geoff Emberley</dc:creator>
  <cp:lastModifiedBy>supersetup</cp:lastModifiedBy>
  <cp:lastPrinted>2019-04-23T13:56:16Z</cp:lastPrinted>
  <dcterms:created xsi:type="dcterms:W3CDTF">2000-07-24T16:41:10Z</dcterms:created>
  <dcterms:modified xsi:type="dcterms:W3CDTF">2021-09-10T12:12:01Z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opic">
    <vt:lpwstr>46;#Budget Inputs|a8fa5331-53ee-40db-8a55-c8874a9b4e02</vt:lpwstr>
  </property>
  <property fmtid="{D5CDD505-2E9C-101B-9397-08002B2CF9AE}" pid="3" name="ContentTypeId">
    <vt:lpwstr>0x01010087DDA8BE470AFE4993BEDB69BC0B40F6020100416FAB1096598B42ADE5F8B6C491A1CA</vt:lpwstr>
  </property>
  <property fmtid="{D5CDD505-2E9C-101B-9397-08002B2CF9AE}" pid="4" name="Notes1">
    <vt:lpwstr>&lt;div&gt;&lt;/div&gt;</vt:lpwstr>
  </property>
  <property fmtid="{D5CDD505-2E9C-101B-9397-08002B2CF9AE}" pid="5" name="TopicTaxHTField0">
    <vt:lpwstr>Budget Inputs|a8fa5331-53ee-40db-8a55-c8874a9b4e02</vt:lpwstr>
  </property>
  <property fmtid="{D5CDD505-2E9C-101B-9397-08002B2CF9AE}" pid="6" name="Document Status">
    <vt:lpwstr>Draft</vt:lpwstr>
  </property>
  <property fmtid="{D5CDD505-2E9C-101B-9397-08002B2CF9AE}" pid="7" name="Document Type">
    <vt:lpwstr>Model</vt:lpwstr>
  </property>
</Properties>
</file>